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7650" activeTab="1"/>
  </bookViews>
  <sheets>
    <sheet name="wall" sheetId="1" r:id="rId1"/>
    <sheet name="wall (2)" sheetId="2" r:id="rId2"/>
    <sheet name="wall (3)" sheetId="3" r:id="rId3"/>
    <sheet name="wall (4)" sheetId="4" r:id="rId4"/>
    <sheet name="tennis1" sheetId="5" r:id="rId5"/>
    <sheet name="pondtelapak" sheetId="6" r:id="rId6"/>
  </sheets>
  <calcPr calcId="124519"/>
  <fileRecoveryPr dataExtractLoad="1"/>
</workbook>
</file>

<file path=xl/calcChain.xml><?xml version="1.0" encoding="utf-8"?>
<calcChain xmlns="http://schemas.openxmlformats.org/spreadsheetml/2006/main">
  <c r="B5" i="6"/>
  <c r="B14"/>
  <c r="B15"/>
  <c r="B16" s="1"/>
  <c r="B20"/>
  <c r="B21"/>
  <c r="B22" s="1"/>
  <c r="D7" i="5"/>
  <c r="D8"/>
  <c r="D9"/>
  <c r="D10"/>
  <c r="C14"/>
  <c r="B22" s="1"/>
  <c r="D16"/>
  <c r="B21"/>
  <c r="D21"/>
  <c r="F21"/>
  <c r="D22"/>
  <c r="B27"/>
  <c r="D27" s="1"/>
  <c r="D30"/>
  <c r="F30" s="1"/>
  <c r="D31"/>
  <c r="F31" s="1"/>
  <c r="D32"/>
  <c r="F32" s="1"/>
  <c r="D33"/>
  <c r="F33" s="1"/>
  <c r="B47"/>
  <c r="E47"/>
  <c r="G47"/>
  <c r="C53"/>
  <c r="D55"/>
  <c r="B60" s="1"/>
  <c r="D60"/>
  <c r="B61"/>
  <c r="D61"/>
  <c r="F61"/>
  <c r="B65"/>
  <c r="D65"/>
  <c r="D68"/>
  <c r="F68"/>
  <c r="D69"/>
  <c r="F69"/>
  <c r="D70"/>
  <c r="F70"/>
  <c r="D71"/>
  <c r="F71"/>
  <c r="D7" i="1"/>
  <c r="D8"/>
  <c r="D9"/>
  <c r="D10"/>
  <c r="D11"/>
  <c r="L12"/>
  <c r="L13"/>
  <c r="L14"/>
  <c r="L15"/>
  <c r="L16"/>
  <c r="I20"/>
  <c r="H21"/>
  <c r="E50" s="1"/>
  <c r="F50" s="1"/>
  <c r="H22"/>
  <c r="H23"/>
  <c r="C41" s="1"/>
  <c r="C36"/>
  <c r="C40"/>
  <c r="E40"/>
  <c r="F40"/>
  <c r="E41"/>
  <c r="C46"/>
  <c r="C51" s="1"/>
  <c r="E46"/>
  <c r="F46"/>
  <c r="C47"/>
  <c r="E47"/>
  <c r="F47" s="1"/>
  <c r="F51" s="1"/>
  <c r="C48"/>
  <c r="E48"/>
  <c r="F48"/>
  <c r="C49"/>
  <c r="E49"/>
  <c r="F49" s="1"/>
  <c r="C50"/>
  <c r="C58"/>
  <c r="C69"/>
  <c r="E72"/>
  <c r="E74"/>
  <c r="D7" i="2"/>
  <c r="D8"/>
  <c r="D9"/>
  <c r="D10"/>
  <c r="D11"/>
  <c r="F17"/>
  <c r="F18"/>
  <c r="F19"/>
  <c r="H19"/>
  <c r="A35"/>
  <c r="C35"/>
  <c r="A40"/>
  <c r="C40"/>
  <c r="F40" s="1"/>
  <c r="D40"/>
  <c r="E40"/>
  <c r="A42"/>
  <c r="C42"/>
  <c r="F42" s="1"/>
  <c r="D42"/>
  <c r="E42"/>
  <c r="C43"/>
  <c r="A48"/>
  <c r="C48"/>
  <c r="G48" s="1"/>
  <c r="D48"/>
  <c r="E48"/>
  <c r="D49"/>
  <c r="A50"/>
  <c r="C50"/>
  <c r="F49" s="1"/>
  <c r="D50"/>
  <c r="E50"/>
  <c r="G50"/>
  <c r="D51"/>
  <c r="A52"/>
  <c r="C52"/>
  <c r="G52" s="1"/>
  <c r="D52"/>
  <c r="E52"/>
  <c r="C53"/>
  <c r="A64" s="1"/>
  <c r="A62"/>
  <c r="C62"/>
  <c r="C64"/>
  <c r="C65" s="1"/>
  <c r="C74"/>
  <c r="E77"/>
  <c r="E79"/>
  <c r="D7" i="3"/>
  <c r="D8"/>
  <c r="D9"/>
  <c r="D10"/>
  <c r="D11"/>
  <c r="F17"/>
  <c r="F18"/>
  <c r="F19"/>
  <c r="H19"/>
  <c r="A35"/>
  <c r="C35"/>
  <c r="D39"/>
  <c r="A40"/>
  <c r="C40"/>
  <c r="F39" s="1"/>
  <c r="D40"/>
  <c r="E40"/>
  <c r="F40"/>
  <c r="D41"/>
  <c r="A42"/>
  <c r="C42"/>
  <c r="F42" s="1"/>
  <c r="D42"/>
  <c r="E42"/>
  <c r="C43"/>
  <c r="A48"/>
  <c r="C48"/>
  <c r="G48" s="1"/>
  <c r="D48"/>
  <c r="E48"/>
  <c r="D49"/>
  <c r="A50"/>
  <c r="C50"/>
  <c r="F49" s="1"/>
  <c r="D50"/>
  <c r="E50"/>
  <c r="G50"/>
  <c r="D51"/>
  <c r="A52"/>
  <c r="C52"/>
  <c r="G52" s="1"/>
  <c r="D52"/>
  <c r="E52"/>
  <c r="C53"/>
  <c r="A64" s="1"/>
  <c r="A62"/>
  <c r="C62"/>
  <c r="D7" i="4"/>
  <c r="C39" s="1"/>
  <c r="D8"/>
  <c r="D9"/>
  <c r="E76" s="1"/>
  <c r="D10"/>
  <c r="D11"/>
  <c r="F16"/>
  <c r="F17"/>
  <c r="F18"/>
  <c r="H18"/>
  <c r="C49" s="1"/>
  <c r="A34"/>
  <c r="C34"/>
  <c r="A39"/>
  <c r="D39"/>
  <c r="E39"/>
  <c r="A45"/>
  <c r="C45"/>
  <c r="F44" s="1"/>
  <c r="D45"/>
  <c r="E45"/>
  <c r="G45"/>
  <c r="D46"/>
  <c r="A47"/>
  <c r="C47"/>
  <c r="G47" s="1"/>
  <c r="D47"/>
  <c r="E47"/>
  <c r="D48"/>
  <c r="A49"/>
  <c r="D49"/>
  <c r="E49"/>
  <c r="A59"/>
  <c r="C59"/>
  <c r="C71"/>
  <c r="E74"/>
  <c r="F48" l="1"/>
  <c r="G49"/>
  <c r="F38"/>
  <c r="C40"/>
  <c r="F39"/>
  <c r="C59" i="1"/>
  <c r="C60" s="1"/>
  <c r="F41"/>
  <c r="C42"/>
  <c r="F60" i="5"/>
  <c r="F62" s="1"/>
  <c r="B62"/>
  <c r="B75" s="1"/>
  <c r="E75" s="1"/>
  <c r="B17" i="6"/>
  <c r="B18" s="1"/>
  <c r="A11" s="1"/>
  <c r="B19"/>
  <c r="G53" i="2"/>
  <c r="F42" i="1"/>
  <c r="C54" s="1"/>
  <c r="C55" s="1"/>
  <c r="B23" i="6"/>
  <c r="D34" i="5"/>
  <c r="D35"/>
  <c r="F35" s="1"/>
  <c r="F22"/>
  <c r="B23"/>
  <c r="G50" i="4"/>
  <c r="G53" i="3"/>
  <c r="F23" i="5"/>
  <c r="F46" i="4"/>
  <c r="F51" i="3"/>
  <c r="F47"/>
  <c r="F41"/>
  <c r="F43" s="1"/>
  <c r="F51" i="2"/>
  <c r="F47"/>
  <c r="F41"/>
  <c r="F43" s="1"/>
  <c r="F39"/>
  <c r="C50" i="4"/>
  <c r="B24" i="6"/>
  <c r="B26" s="1"/>
  <c r="B27" s="1"/>
  <c r="A12" s="1"/>
  <c r="C65" i="1" l="1"/>
  <c r="C66" s="1"/>
  <c r="C68" s="1"/>
  <c r="F40" i="4"/>
  <c r="A55" s="1"/>
  <c r="C67"/>
  <c r="C68" s="1"/>
  <c r="C70" s="1"/>
  <c r="C72" s="1"/>
  <c r="F34" i="5"/>
  <c r="F36" s="1"/>
  <c r="D36"/>
  <c r="B39" s="1"/>
  <c r="E39" s="1"/>
  <c r="C58" i="2"/>
  <c r="C59" s="1"/>
  <c r="A58"/>
  <c r="C70"/>
  <c r="C71" s="1"/>
  <c r="C73" s="1"/>
  <c r="C61" i="4"/>
  <c r="C62" s="1"/>
  <c r="C75"/>
  <c r="C76" s="1"/>
  <c r="A61"/>
  <c r="C73"/>
  <c r="C74" s="1"/>
  <c r="C58" i="3"/>
  <c r="C59" s="1"/>
  <c r="A58"/>
  <c r="C70" i="1" l="1"/>
  <c r="C71"/>
  <c r="C72" s="1"/>
  <c r="C73"/>
  <c r="C74" s="1"/>
  <c r="C55" i="4"/>
  <c r="C56" s="1"/>
  <c r="C75" i="2"/>
  <c r="C78"/>
  <c r="C79" s="1"/>
  <c r="C76"/>
  <c r="C77" s="1"/>
  <c r="B50" i="5"/>
  <c r="E50" s="1"/>
  <c r="B44"/>
  <c r="B45" s="1"/>
</calcChain>
</file>

<file path=xl/sharedStrings.xml><?xml version="1.0" encoding="utf-8"?>
<sst xmlns="http://schemas.openxmlformats.org/spreadsheetml/2006/main" count="451" uniqueCount="161">
  <si>
    <t>PERHITUNGAN DINDING PENAHAN</t>
  </si>
  <si>
    <t>Nama Proyek : Amankila         Jenis Kegiatan : Kontrol Dinding Penahan</t>
  </si>
  <si>
    <t>DATA-DATA</t>
  </si>
  <si>
    <t>Sudut geser (sg)</t>
  </si>
  <si>
    <t>Bj tanah (jt)</t>
  </si>
  <si>
    <t>gr/cm3</t>
  </si>
  <si>
    <t>t/m3</t>
  </si>
  <si>
    <t>Kohessi (C)</t>
  </si>
  <si>
    <t>kg/cm2</t>
  </si>
  <si>
    <t>t/m2</t>
  </si>
  <si>
    <t>Teg. Ijin tanah (jtn)</t>
  </si>
  <si>
    <t>teg tekan tanah</t>
  </si>
  <si>
    <t>kg/tm2</t>
  </si>
  <si>
    <t>teg tarik tanah</t>
  </si>
  <si>
    <t>h</t>
  </si>
  <si>
    <t>Pas. Batu kali (jbt)</t>
  </si>
  <si>
    <t>t/m</t>
  </si>
  <si>
    <t>b</t>
  </si>
  <si>
    <t>c</t>
  </si>
  <si>
    <t>Dipandang pias selebar 1 m</t>
  </si>
  <si>
    <t>d</t>
  </si>
  <si>
    <t>g (t/m') =</t>
  </si>
  <si>
    <t>e</t>
  </si>
  <si>
    <t>Tinggi  (m)</t>
  </si>
  <si>
    <t>Lebar (m)</t>
  </si>
  <si>
    <t>f</t>
  </si>
  <si>
    <t>(1)</t>
  </si>
  <si>
    <t>(2)</t>
  </si>
  <si>
    <t>(3)</t>
  </si>
  <si>
    <t>(4)</t>
  </si>
  <si>
    <t>(5)</t>
  </si>
  <si>
    <t>(E1)</t>
  </si>
  <si>
    <t>(E2)</t>
  </si>
  <si>
    <t xml:space="preserve">koefisien tekanan tanah aktif </t>
  </si>
  <si>
    <t>ka = tg2 (45o - sg/2)</t>
  </si>
  <si>
    <t xml:space="preserve">Gaya Horisontal </t>
  </si>
  <si>
    <t>(t)</t>
  </si>
  <si>
    <t xml:space="preserve">Lengan </t>
  </si>
  <si>
    <t>(m)</t>
  </si>
  <si>
    <t>Moment</t>
  </si>
  <si>
    <t>(tm)</t>
  </si>
  <si>
    <t xml:space="preserve">thd A </t>
  </si>
  <si>
    <t>(t.lengan)</t>
  </si>
  <si>
    <t>E1 = q.(E1h).ka</t>
  </si>
  <si>
    <t>1/2.(E1h)</t>
  </si>
  <si>
    <t>E2 = 1/2.jt.(E2h)^2.ka</t>
  </si>
  <si>
    <t>1/3.(E2h)</t>
  </si>
  <si>
    <t>E(H)</t>
  </si>
  <si>
    <t>E(Mh)</t>
  </si>
  <si>
    <t>Gaya Vertikal</t>
  </si>
  <si>
    <t>(1) = (1h.1l).jbt</t>
  </si>
  <si>
    <t>(1h/2+2h)</t>
  </si>
  <si>
    <t>(2) = 1/2.(2h.2l).jbt</t>
  </si>
  <si>
    <t>1/2.(2h)</t>
  </si>
  <si>
    <t>(3) = 1/2.(3h.3l).jbt</t>
  </si>
  <si>
    <t>(3h/3+2h)</t>
  </si>
  <si>
    <t>(4) = 1/2.(4h.4l).jtn</t>
  </si>
  <si>
    <t>(2/3.4h)</t>
  </si>
  <si>
    <t>(5) = (5h.5l).jtn</t>
  </si>
  <si>
    <t>(5h/2+2h)</t>
  </si>
  <si>
    <t>E(V)</t>
  </si>
  <si>
    <t>E(Mv)</t>
  </si>
  <si>
    <t>Kontrol terhadap penggulingan</t>
  </si>
  <si>
    <t>n1 = E(Mv) / E(Mh)</t>
  </si>
  <si>
    <t>n 1 &gt;  1,5  --&gt; aman</t>
  </si>
  <si>
    <t>Kontrol terhadap penggeseran</t>
  </si>
  <si>
    <t>tg(sg)</t>
  </si>
  <si>
    <t>n2 = E(V).tg(sg)/E(H)</t>
  </si>
  <si>
    <t>n2 &gt; 1,5 ---&gt; aman</t>
  </si>
  <si>
    <t>Tekanan pada dasar pondasi</t>
  </si>
  <si>
    <t>Jarak titik pot resultante terhadap A = X</t>
  </si>
  <si>
    <t xml:space="preserve">E momen yg bekerja pada </t>
  </si>
  <si>
    <t xml:space="preserve"> Ma = Emv - Emh</t>
  </si>
  <si>
    <t>x = Ma/(E(V))</t>
  </si>
  <si>
    <t>dari A</t>
  </si>
  <si>
    <t>Jarak thd 0 (tengah-tengah pondasi)</t>
  </si>
  <si>
    <t>e1 = x - (2.l)/2</t>
  </si>
  <si>
    <t>e2 =  (2.l)/6</t>
  </si>
  <si>
    <t>e1 &lt; e2</t>
  </si>
  <si>
    <t>tegMax = EV/bx.by(1+6.e/bx)</t>
  </si>
  <si>
    <t>tegMax &lt;  jtn</t>
  </si>
  <si>
    <t>&lt;</t>
  </si>
  <si>
    <t>tegMin = EV/bx.by(1-6.e/bx)</t>
  </si>
  <si>
    <t>Jenis Kegiatan : Kontrol Dinding Penahan</t>
  </si>
  <si>
    <t>E1 = q.H.ka</t>
  </si>
  <si>
    <t>1/2.(H)</t>
  </si>
  <si>
    <t>E2 = 1/2.jt.H^2.ka</t>
  </si>
  <si>
    <t>1/3.H</t>
  </si>
  <si>
    <t>(1) = (H.b).jbt</t>
  </si>
  <si>
    <t>(1/2.b)</t>
  </si>
  <si>
    <t>(2) = 1/2.(H.b).jbt</t>
  </si>
  <si>
    <t>(3) = 1/2.(H.b).jtn</t>
  </si>
  <si>
    <t>Nama Proyek : Amankila (tennis Cours)         Jenis Kegiatan : Kontrol Dinding Penahan</t>
  </si>
  <si>
    <t>ka = (1-sin(sg))/(1+sin(sg))</t>
  </si>
  <si>
    <t>h (m)</t>
  </si>
  <si>
    <t>g  diatas tanah (q)</t>
  </si>
  <si>
    <t>t/m'</t>
  </si>
  <si>
    <t>Gaya horisontal</t>
  </si>
  <si>
    <t>Gaya</t>
  </si>
  <si>
    <t>Lengan thd A (Ly ,m)</t>
  </si>
  <si>
    <t>Moment (tm)</t>
  </si>
  <si>
    <t>1</t>
  </si>
  <si>
    <t>2</t>
  </si>
  <si>
    <t>( 1 X 2)</t>
  </si>
  <si>
    <t xml:space="preserve">Ptanah = ka.jt.1/2.h^2  </t>
  </si>
  <si>
    <t>1/3.h =</t>
  </si>
  <si>
    <t xml:space="preserve">Pq = ka.q.h  </t>
  </si>
  <si>
    <t>1/2.h =</t>
  </si>
  <si>
    <t>E H =</t>
  </si>
  <si>
    <t>E MH =</t>
  </si>
  <si>
    <t>Gaya vertikal</t>
  </si>
  <si>
    <t>b (m)</t>
  </si>
  <si>
    <t>Gaya (t)</t>
  </si>
  <si>
    <t>Lx (m)</t>
  </si>
  <si>
    <t>M (tm)</t>
  </si>
  <si>
    <t>Segitiga 1</t>
  </si>
  <si>
    <t>Segitiga 2</t>
  </si>
  <si>
    <t>Persegi atas</t>
  </si>
  <si>
    <t>Persegi bawah</t>
  </si>
  <si>
    <t>Tanah segitiga</t>
  </si>
  <si>
    <t>Tanah persegi</t>
  </si>
  <si>
    <t xml:space="preserve">EV = </t>
  </si>
  <si>
    <t>E MV =</t>
  </si>
  <si>
    <t>Kontrol Geser</t>
  </si>
  <si>
    <t>EV.tg(sg)/EH</t>
  </si>
  <si>
    <t>&gt;</t>
  </si>
  <si>
    <t>Kontrol Tekanan dasar pondasi</t>
  </si>
  <si>
    <t>Jarak titik pot. Resultatnte terhadap A = x</t>
  </si>
  <si>
    <t xml:space="preserve">E M yang bekerja pada A </t>
  </si>
  <si>
    <t>MA = EMV - EMH</t>
  </si>
  <si>
    <t>x = MA/EV</t>
  </si>
  <si>
    <t>Jarak terhadap O (tengah pondasi)</t>
  </si>
  <si>
    <t>e = x - B/2</t>
  </si>
  <si>
    <t>m dari kiri O</t>
  </si>
  <si>
    <t>Kontrol Guling</t>
  </si>
  <si>
    <t xml:space="preserve"> EMV/EMH</t>
  </si>
  <si>
    <t>Kontrol Pecah Bangunan</t>
  </si>
  <si>
    <t>Untuk pasangan batu semen  (f =1)</t>
  </si>
  <si>
    <t>EV.f/EH</t>
  </si>
  <si>
    <t>KONTROL DIMENSI PONDASI PLAT BUJUR SANGKAR</t>
  </si>
  <si>
    <t>P (kg)</t>
  </si>
  <si>
    <t>Mgempa = 10%.P.5  (kgm)</t>
  </si>
  <si>
    <t>tebal plat (t , m)</t>
  </si>
  <si>
    <t>tegangan tanah (tt, kg/cm2)</t>
  </si>
  <si>
    <t>Kedalaman pondasi (d m)</t>
  </si>
  <si>
    <t>Ukuran plat (b = h , m)</t>
  </si>
  <si>
    <t>Angka keamanan (n)</t>
  </si>
  <si>
    <t>qplat = t.2400.0.0001 (kg/cm2)</t>
  </si>
  <si>
    <t>qtanah = (d-t).0,17</t>
  </si>
  <si>
    <t>qtot = qplat+qtanah (kg/cm2)</t>
  </si>
  <si>
    <t>pnetto = tt-qtot</t>
  </si>
  <si>
    <t>Apondasi = P/pnetto  (cm2)</t>
  </si>
  <si>
    <t>pn = (tt*n) - qtot</t>
  </si>
  <si>
    <t>b = b.100   (cm)</t>
  </si>
  <si>
    <t>m = M.100 (kgcm)</t>
  </si>
  <si>
    <t>p = P/(b.b) + m/(1/6.b.b^2)</t>
  </si>
  <si>
    <t>p =&lt; pn</t>
  </si>
  <si>
    <t>e = m/P</t>
  </si>
  <si>
    <t>e &gt; 1/6.b</t>
  </si>
  <si>
    <t>pmax = 2P/(3.b.(0,5.b-e)</t>
  </si>
  <si>
    <t>pmax &lt;= pn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</si>
</sst>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opLeftCell="A94" workbookViewId="0"/>
  </sheetViews>
  <sheetFormatPr defaultRowHeight="15"/>
  <cols>
    <col min="1" max="1" width="64.140625" bestFit="1" customWidth="1"/>
  </cols>
  <sheetData>
    <row r="1" spans="1:13">
      <c r="A1" t="s">
        <v>0</v>
      </c>
    </row>
    <row r="2" spans="1:13">
      <c r="A2" t="s">
        <v>1</v>
      </c>
    </row>
    <row r="4" spans="1:13">
      <c r="A4" t="s">
        <v>2</v>
      </c>
    </row>
    <row r="6" spans="1:13">
      <c r="A6" t="s">
        <v>3</v>
      </c>
      <c r="B6">
        <v>24.8</v>
      </c>
    </row>
    <row r="7" spans="1:13">
      <c r="A7" t="s">
        <v>4</v>
      </c>
      <c r="B7">
        <v>1.6519999999999999</v>
      </c>
      <c r="C7" t="s">
        <v>5</v>
      </c>
      <c r="D7">
        <f>B7</f>
        <v>1.6519999999999999</v>
      </c>
      <c r="E7" t="s">
        <v>6</v>
      </c>
    </row>
    <row r="8" spans="1:13">
      <c r="A8" t="s">
        <v>7</v>
      </c>
      <c r="B8">
        <v>6.9000000000000006E-2</v>
      </c>
      <c r="C8" t="s">
        <v>8</v>
      </c>
      <c r="D8">
        <f>B8*10</f>
        <v>0.69000000000000006</v>
      </c>
      <c r="E8" t="s">
        <v>9</v>
      </c>
    </row>
    <row r="9" spans="1:13">
      <c r="A9" t="s">
        <v>10</v>
      </c>
      <c r="B9">
        <v>1.5</v>
      </c>
      <c r="C9" t="s">
        <v>8</v>
      </c>
      <c r="D9">
        <f>B9*10</f>
        <v>15</v>
      </c>
      <c r="E9" t="s">
        <v>9</v>
      </c>
    </row>
    <row r="10" spans="1:13">
      <c r="A10" t="s">
        <v>11</v>
      </c>
      <c r="B10">
        <v>0.38</v>
      </c>
      <c r="C10" t="s">
        <v>8</v>
      </c>
      <c r="D10">
        <f>B10*10</f>
        <v>3.8</v>
      </c>
      <c r="E10" t="s">
        <v>12</v>
      </c>
    </row>
    <row r="11" spans="1:13">
      <c r="A11" t="s">
        <v>13</v>
      </c>
      <c r="B11">
        <v>0.78</v>
      </c>
      <c r="C11" t="s">
        <v>8</v>
      </c>
      <c r="D11">
        <f>B11*10</f>
        <v>7.8000000000000007</v>
      </c>
      <c r="E11" t="s">
        <v>12</v>
      </c>
      <c r="K11" t="s">
        <v>14</v>
      </c>
      <c r="L11">
        <v>5</v>
      </c>
      <c r="M11">
        <v>5</v>
      </c>
    </row>
    <row r="12" spans="1:13">
      <c r="A12" t="s">
        <v>15</v>
      </c>
      <c r="B12">
        <v>2</v>
      </c>
      <c r="C12" t="s">
        <v>16</v>
      </c>
      <c r="K12" t="s">
        <v>17</v>
      </c>
      <c r="L12" t="str">
        <f>L11/2&amp;" - "&amp;FIXED(2/3*L11,1)</f>
        <v>2.5 - 3.3</v>
      </c>
      <c r="M12">
        <v>3</v>
      </c>
    </row>
    <row r="13" spans="1:13">
      <c r="K13" t="s">
        <v>18</v>
      </c>
      <c r="L13" t="str">
        <f>"0,30 - "&amp;FIXED(L11/12,1)</f>
        <v>0,30 - 0.4</v>
      </c>
      <c r="M13">
        <v>0.4</v>
      </c>
    </row>
    <row r="14" spans="1:13">
      <c r="A14" t="s">
        <v>19</v>
      </c>
      <c r="K14" t="s">
        <v>20</v>
      </c>
      <c r="L14" t="str">
        <f>L11/8&amp;" - "&amp;FIXED(L11/6,1)</f>
        <v>0.625 - 0.8</v>
      </c>
      <c r="M14">
        <v>0.8</v>
      </c>
    </row>
    <row r="15" spans="1:13">
      <c r="C15" t="s">
        <v>21</v>
      </c>
      <c r="D15">
        <v>0.16</v>
      </c>
      <c r="K15" t="s">
        <v>22</v>
      </c>
      <c r="L15" t="str">
        <f>M14/2&amp;" - "&amp;M14</f>
        <v>0.4 - 0.8</v>
      </c>
      <c r="M15">
        <v>0.4</v>
      </c>
    </row>
    <row r="16" spans="1:13">
      <c r="H16" t="s">
        <v>23</v>
      </c>
      <c r="I16" t="s">
        <v>24</v>
      </c>
      <c r="K16" t="s">
        <v>25</v>
      </c>
      <c r="L16">
        <f>M12-2*M15-M13</f>
        <v>1.8000000000000003</v>
      </c>
    </row>
    <row r="17" spans="7:9">
      <c r="G17" t="s">
        <v>26</v>
      </c>
      <c r="H17">
        <v>5</v>
      </c>
      <c r="I17">
        <v>0.4</v>
      </c>
    </row>
    <row r="18" spans="7:9">
      <c r="G18" t="s">
        <v>27</v>
      </c>
      <c r="H18">
        <v>0.8</v>
      </c>
      <c r="I18">
        <v>3.5</v>
      </c>
    </row>
    <row r="19" spans="7:9">
      <c r="G19" t="s">
        <v>28</v>
      </c>
      <c r="H19">
        <v>5</v>
      </c>
      <c r="I19">
        <v>1.8</v>
      </c>
    </row>
    <row r="20" spans="7:9">
      <c r="G20" t="s">
        <v>29</v>
      </c>
      <c r="H20">
        <v>5</v>
      </c>
      <c r="I20">
        <f>I19</f>
        <v>1.8</v>
      </c>
    </row>
    <row r="21" spans="7:9">
      <c r="G21" t="s">
        <v>30</v>
      </c>
      <c r="H21">
        <f>H17</f>
        <v>5</v>
      </c>
      <c r="I21">
        <v>0.5</v>
      </c>
    </row>
    <row r="22" spans="7:9">
      <c r="G22" t="s">
        <v>31</v>
      </c>
      <c r="H22">
        <f>H17+H18</f>
        <v>5.8</v>
      </c>
    </row>
    <row r="23" spans="7:9">
      <c r="G23" t="s">
        <v>32</v>
      </c>
      <c r="H23">
        <f>H22</f>
        <v>5.8</v>
      </c>
    </row>
    <row r="35" spans="1:7">
      <c r="A35" t="s">
        <v>33</v>
      </c>
    </row>
    <row r="36" spans="1:7">
      <c r="A36" t="s">
        <v>34</v>
      </c>
      <c r="C36">
        <f>TAN((45-B6/2)*PI()/180)^2</f>
        <v>0.40899437517704035</v>
      </c>
    </row>
    <row r="38" spans="1:7">
      <c r="A38" t="s">
        <v>35</v>
      </c>
      <c r="C38" t="s">
        <v>36</v>
      </c>
      <c r="D38" t="s">
        <v>37</v>
      </c>
      <c r="E38" t="s">
        <v>38</v>
      </c>
      <c r="F38" t="s">
        <v>39</v>
      </c>
      <c r="G38" t="s">
        <v>40</v>
      </c>
    </row>
    <row r="39" spans="1:7">
      <c r="D39" t="s">
        <v>41</v>
      </c>
      <c r="F39" t="s">
        <v>42</v>
      </c>
    </row>
    <row r="40" spans="1:7">
      <c r="A40" t="s">
        <v>43</v>
      </c>
      <c r="C40">
        <f>D15*H22*C36</f>
        <v>0.37954678016429344</v>
      </c>
      <c r="D40" t="s">
        <v>44</v>
      </c>
      <c r="E40">
        <f>1/2*H22</f>
        <v>2.9</v>
      </c>
      <c r="F40">
        <f>C40*E40</f>
        <v>1.1006856624764509</v>
      </c>
    </row>
    <row r="41" spans="1:7">
      <c r="A41" t="s">
        <v>45</v>
      </c>
      <c r="C41">
        <f>1/2*D7*H23^2*C36</f>
        <v>11.364579465069356</v>
      </c>
      <c r="D41" t="s">
        <v>46</v>
      </c>
      <c r="E41">
        <f>1/3*H23</f>
        <v>1.9333333333333331</v>
      </c>
      <c r="F41">
        <f>C41*E41</f>
        <v>21.971520299134088</v>
      </c>
    </row>
    <row r="42" spans="1:7">
      <c r="B42" t="s">
        <v>47</v>
      </c>
      <c r="C42">
        <f>SUM(C40:C41)</f>
        <v>11.74412624523365</v>
      </c>
      <c r="E42" t="s">
        <v>48</v>
      </c>
      <c r="F42">
        <f>SUM(F40:F41)</f>
        <v>23.072205961610539</v>
      </c>
    </row>
    <row r="44" spans="1:7">
      <c r="A44" t="s">
        <v>49</v>
      </c>
      <c r="C44" t="s">
        <v>36</v>
      </c>
      <c r="D44" t="s">
        <v>37</v>
      </c>
      <c r="E44" t="s">
        <v>38</v>
      </c>
      <c r="F44" t="s">
        <v>39</v>
      </c>
      <c r="G44" t="s">
        <v>40</v>
      </c>
    </row>
    <row r="45" spans="1:7">
      <c r="D45" t="s">
        <v>41</v>
      </c>
      <c r="F45" t="s">
        <v>42</v>
      </c>
    </row>
    <row r="46" spans="1:7">
      <c r="A46" t="s">
        <v>50</v>
      </c>
      <c r="C46">
        <f>H17*I17*B12</f>
        <v>4</v>
      </c>
      <c r="D46" t="s">
        <v>51</v>
      </c>
      <c r="E46">
        <f>H17/2+H18</f>
        <v>3.3</v>
      </c>
      <c r="F46">
        <f>C46*E46</f>
        <v>13.2</v>
      </c>
    </row>
    <row r="47" spans="1:7">
      <c r="A47" t="s">
        <v>52</v>
      </c>
      <c r="C47">
        <f>1/2*H18*I18*B12</f>
        <v>2.8000000000000003</v>
      </c>
      <c r="D47" t="s">
        <v>53</v>
      </c>
      <c r="E47">
        <f>1/2*H18</f>
        <v>0.4</v>
      </c>
      <c r="F47">
        <f>C47*E47</f>
        <v>1.1200000000000001</v>
      </c>
    </row>
    <row r="48" spans="1:7">
      <c r="A48" t="s">
        <v>54</v>
      </c>
      <c r="C48">
        <f>1/2*H19*I19*B12</f>
        <v>9</v>
      </c>
      <c r="D48" t="s">
        <v>55</v>
      </c>
      <c r="E48">
        <f>H19/3+H18</f>
        <v>2.4666666666666668</v>
      </c>
      <c r="F48">
        <f>C48*E48</f>
        <v>22.200000000000003</v>
      </c>
    </row>
    <row r="49" spans="1:6">
      <c r="A49" t="s">
        <v>56</v>
      </c>
      <c r="C49">
        <f>1/2*H20*I20*B9</f>
        <v>6.75</v>
      </c>
      <c r="D49" t="s">
        <v>57</v>
      </c>
      <c r="E49">
        <f>2/3*H20</f>
        <v>3.333333333333333</v>
      </c>
      <c r="F49">
        <f>C49*E49</f>
        <v>22.499999999999996</v>
      </c>
    </row>
    <row r="50" spans="1:6">
      <c r="A50" t="s">
        <v>58</v>
      </c>
      <c r="C50">
        <f>H21*I21*B9</f>
        <v>3.75</v>
      </c>
      <c r="D50" t="s">
        <v>59</v>
      </c>
      <c r="E50">
        <f>H21/2+H18</f>
        <v>3.3</v>
      </c>
      <c r="F50">
        <f>C50*E50</f>
        <v>12.375</v>
      </c>
    </row>
    <row r="51" spans="1:6">
      <c r="B51" t="s">
        <v>60</v>
      </c>
      <c r="C51">
        <f>SUM(C46:C50)</f>
        <v>26.3</v>
      </c>
      <c r="E51" t="s">
        <v>61</v>
      </c>
      <c r="F51">
        <f>SUM(F46:F50)</f>
        <v>71.394999999999996</v>
      </c>
    </row>
    <row r="53" spans="1:6">
      <c r="A53" t="s">
        <v>62</v>
      </c>
    </row>
    <row r="54" spans="1:6">
      <c r="A54" t="s">
        <v>63</v>
      </c>
      <c r="C54">
        <f>F51/F42</f>
        <v>3.0944158577117835</v>
      </c>
    </row>
    <row r="55" spans="1:6">
      <c r="A55" t="s">
        <v>64</v>
      </c>
      <c r="C55" t="str">
        <f>IF(C54&gt;1.5,"Cukup aman", "Rubah dimensi")</f>
        <v>Cukup aman</v>
      </c>
    </row>
    <row r="57" spans="1:6">
      <c r="A57" t="s">
        <v>65</v>
      </c>
    </row>
    <row r="58" spans="1:6">
      <c r="A58" t="s">
        <v>66</v>
      </c>
      <c r="C58">
        <f>TAN(B6*PI()/180)</f>
        <v>0.46206486982257861</v>
      </c>
    </row>
    <row r="59" spans="1:6">
      <c r="A59" t="s">
        <v>67</v>
      </c>
      <c r="C59">
        <f>C51*TAN(B6*PI()/180)/C42</f>
        <v>1.0347560833881386</v>
      </c>
    </row>
    <row r="60" spans="1:6">
      <c r="A60" t="s">
        <v>68</v>
      </c>
      <c r="C60" t="str">
        <f>IF(C59&gt;1.5,"Cukup aman", "Rubah dimensi")</f>
        <v>Rubah dimensi</v>
      </c>
    </row>
    <row r="62" spans="1:6">
      <c r="A62" t="s">
        <v>69</v>
      </c>
    </row>
    <row r="63" spans="1:6">
      <c r="A63" t="s">
        <v>70</v>
      </c>
    </row>
    <row r="64" spans="1:6">
      <c r="A64" t="s">
        <v>71</v>
      </c>
    </row>
    <row r="65" spans="1:5">
      <c r="A65" t="s">
        <v>72</v>
      </c>
      <c r="C65">
        <f>F51-F42</f>
        <v>48.322794038389461</v>
      </c>
    </row>
    <row r="66" spans="1:5">
      <c r="A66" t="s">
        <v>73</v>
      </c>
      <c r="C66">
        <f>C65/C51</f>
        <v>1.8373685946155689</v>
      </c>
      <c r="D66" t="s">
        <v>74</v>
      </c>
    </row>
    <row r="67" spans="1:5">
      <c r="A67" t="s">
        <v>75</v>
      </c>
    </row>
    <row r="68" spans="1:5">
      <c r="A68" t="s">
        <v>76</v>
      </c>
      <c r="C68">
        <f>C66-I18/2</f>
        <v>8.7368594615568895E-2</v>
      </c>
    </row>
    <row r="69" spans="1:5">
      <c r="A69" t="s">
        <v>77</v>
      </c>
      <c r="C69">
        <f>I18/6</f>
        <v>0.58333333333333337</v>
      </c>
    </row>
    <row r="70" spans="1:5">
      <c r="A70" t="s">
        <v>78</v>
      </c>
      <c r="C70" t="str">
        <f>IF(C68&lt;C69,"OK","Tekanan pondasi")</f>
        <v>OK</v>
      </c>
    </row>
    <row r="71" spans="1:5">
      <c r="A71" t="s">
        <v>79</v>
      </c>
      <c r="C71">
        <f>C51/(H18*I18)*(1+6*C68/I18)</f>
        <v>10.799669819422119</v>
      </c>
      <c r="D71" t="s">
        <v>6</v>
      </c>
    </row>
    <row r="72" spans="1:5">
      <c r="A72" t="s">
        <v>80</v>
      </c>
      <c r="C72" t="str">
        <f>IF(C71&lt;D9,"ok","-")</f>
        <v>ok</v>
      </c>
      <c r="D72" t="s">
        <v>81</v>
      </c>
      <c r="E72">
        <f>D9</f>
        <v>15</v>
      </c>
    </row>
    <row r="73" spans="1:5">
      <c r="A73" t="s">
        <v>82</v>
      </c>
      <c r="C73">
        <f>C51/(H18*I18)*(1-6*C68/I18)</f>
        <v>7.9860444662921664</v>
      </c>
    </row>
    <row r="74" spans="1:5">
      <c r="A74" t="s">
        <v>80</v>
      </c>
      <c r="C74" t="str">
        <f>IF(C73&lt;D9,"ok","-")</f>
        <v>ok</v>
      </c>
      <c r="D74" t="s">
        <v>81</v>
      </c>
      <c r="E74">
        <f>D9</f>
        <v>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/>
  </sheetViews>
  <sheetFormatPr defaultRowHeight="15"/>
  <sheetData>
    <row r="1" spans="1:8">
      <c r="A1" t="s">
        <v>0</v>
      </c>
    </row>
    <row r="2" spans="1:8">
      <c r="A2" t="s">
        <v>83</v>
      </c>
    </row>
    <row r="4" spans="1:8">
      <c r="A4" t="s">
        <v>2</v>
      </c>
    </row>
    <row r="6" spans="1:8">
      <c r="A6" t="s">
        <v>3</v>
      </c>
      <c r="B6">
        <v>30</v>
      </c>
    </row>
    <row r="7" spans="1:8">
      <c r="A7" t="s">
        <v>4</v>
      </c>
      <c r="B7">
        <v>1.7</v>
      </c>
      <c r="C7" t="s">
        <v>5</v>
      </c>
      <c r="D7">
        <f>B7</f>
        <v>1.7</v>
      </c>
      <c r="E7" t="s">
        <v>6</v>
      </c>
    </row>
    <row r="8" spans="1:8">
      <c r="A8" t="s">
        <v>7</v>
      </c>
      <c r="B8">
        <v>6.9000000000000006E-2</v>
      </c>
      <c r="C8" t="s">
        <v>8</v>
      </c>
      <c r="D8">
        <f>B8*10</f>
        <v>0.69000000000000006</v>
      </c>
      <c r="E8" t="s">
        <v>9</v>
      </c>
    </row>
    <row r="9" spans="1:8">
      <c r="A9" t="s">
        <v>10</v>
      </c>
      <c r="B9">
        <v>1.5</v>
      </c>
      <c r="C9" t="s">
        <v>8</v>
      </c>
      <c r="D9">
        <f>B9*10</f>
        <v>15</v>
      </c>
      <c r="E9" t="s">
        <v>9</v>
      </c>
    </row>
    <row r="10" spans="1:8">
      <c r="A10" t="s">
        <v>11</v>
      </c>
      <c r="B10">
        <v>0.2</v>
      </c>
      <c r="C10" t="s">
        <v>8</v>
      </c>
      <c r="D10">
        <f>B10*10</f>
        <v>2</v>
      </c>
      <c r="E10" t="s">
        <v>12</v>
      </c>
    </row>
    <row r="11" spans="1:8">
      <c r="A11" t="s">
        <v>13</v>
      </c>
      <c r="B11">
        <v>0.3</v>
      </c>
      <c r="C11" t="s">
        <v>8</v>
      </c>
      <c r="D11">
        <f>B11*10</f>
        <v>3</v>
      </c>
      <c r="E11" t="s">
        <v>12</v>
      </c>
    </row>
    <row r="12" spans="1:8">
      <c r="A12" t="s">
        <v>15</v>
      </c>
      <c r="B12">
        <v>2.2000000000000002</v>
      </c>
      <c r="C12" t="s">
        <v>16</v>
      </c>
    </row>
    <row r="14" spans="1:8">
      <c r="A14" t="s">
        <v>19</v>
      </c>
    </row>
    <row r="15" spans="1:8">
      <c r="C15" t="s">
        <v>21</v>
      </c>
      <c r="D15">
        <v>0.48199999999999998</v>
      </c>
    </row>
    <row r="16" spans="1:8">
      <c r="G16" t="s">
        <v>23</v>
      </c>
      <c r="H16" t="s">
        <v>24</v>
      </c>
    </row>
    <row r="17" spans="6:8">
      <c r="F17" t="str">
        <f>"(1)"</f>
        <v>(1)</v>
      </c>
      <c r="G17">
        <v>1.8</v>
      </c>
      <c r="H17">
        <v>0.2</v>
      </c>
    </row>
    <row r="18" spans="6:8">
      <c r="F18" t="str">
        <f>"(2)"</f>
        <v>(2)</v>
      </c>
      <c r="G18">
        <v>1.8</v>
      </c>
      <c r="H18">
        <v>0.3</v>
      </c>
    </row>
    <row r="19" spans="6:8">
      <c r="F19" t="str">
        <f>"(3)"</f>
        <v>(3)</v>
      </c>
      <c r="G19">
        <v>1.8</v>
      </c>
      <c r="H19">
        <f>H18</f>
        <v>0.3</v>
      </c>
    </row>
    <row r="20" spans="6:8">
      <c r="F20" t="s">
        <v>31</v>
      </c>
      <c r="G20">
        <v>1.8</v>
      </c>
    </row>
    <row r="21" spans="6:8">
      <c r="F21" t="s">
        <v>32</v>
      </c>
      <c r="G21">
        <v>1.8</v>
      </c>
    </row>
    <row r="33" spans="1:7">
      <c r="A33" t="s">
        <v>33</v>
      </c>
    </row>
    <row r="34" spans="1:7">
      <c r="A34" t="s">
        <v>34</v>
      </c>
    </row>
    <row r="35" spans="1:7">
      <c r="A35" t="str">
        <f>"  = tg^2 (45 - "&amp;B6&amp;"/2) ="</f>
        <v xml:space="preserve">  = tg^2 (45 - 30/2) =</v>
      </c>
      <c r="C35">
        <f>TAN((45-B6/2)*PI()/180)^2</f>
        <v>0.33333333333333331</v>
      </c>
    </row>
    <row r="37" spans="1:7">
      <c r="A37" t="s">
        <v>35</v>
      </c>
      <c r="C37" t="s">
        <v>36</v>
      </c>
      <c r="D37" t="s">
        <v>37</v>
      </c>
      <c r="E37" t="s">
        <v>38</v>
      </c>
      <c r="F37" t="s">
        <v>39</v>
      </c>
      <c r="G37" t="s">
        <v>40</v>
      </c>
    </row>
    <row r="38" spans="1:7">
      <c r="D38" t="s">
        <v>41</v>
      </c>
      <c r="F38" t="s">
        <v>42</v>
      </c>
    </row>
    <row r="39" spans="1:7">
      <c r="A39" t="s">
        <v>84</v>
      </c>
      <c r="D39" t="s">
        <v>85</v>
      </c>
      <c r="F39" t="str">
        <f>FIXED(C40,3)&amp;"x"&amp;E40&amp;"="</f>
        <v>0.289x0.9=</v>
      </c>
    </row>
    <row r="40" spans="1:7">
      <c r="A40" t="str">
        <f>"     = "&amp;D15&amp;"x"&amp;G20&amp;"x"&amp;FIXED(C35,3)&amp;" ="</f>
        <v xml:space="preserve">     = 0.482x1.8x0.333 =</v>
      </c>
      <c r="C40">
        <f>D15*G20*C35</f>
        <v>0.28920000000000001</v>
      </c>
      <c r="D40" t="str">
        <f>"1/2x"&amp;G20&amp;"="</f>
        <v>1/2x1.8=</v>
      </c>
      <c r="E40">
        <f>1/2*G20</f>
        <v>0.9</v>
      </c>
      <c r="F40">
        <f>C40*E40</f>
        <v>0.26028000000000001</v>
      </c>
    </row>
    <row r="41" spans="1:7">
      <c r="A41" t="s">
        <v>86</v>
      </c>
      <c r="D41" t="s">
        <v>87</v>
      </c>
      <c r="F41" t="str">
        <f>FIXED(C42,3)&amp;"x"&amp;E42&amp;" = "</f>
        <v xml:space="preserve">0.918x0.6 = </v>
      </c>
    </row>
    <row r="42" spans="1:7">
      <c r="A42" t="str">
        <f>"1/2x"&amp;D7&amp;"x"&amp;G21&amp;"^2x"&amp;FIXED(C35,3)&amp;" ="</f>
        <v>1/2x1.7x1.8^2x0.333 =</v>
      </c>
      <c r="C42">
        <f>1/2*D7*G21^2*C35</f>
        <v>0.91799999999999993</v>
      </c>
      <c r="D42" t="str">
        <f>"1/3x"&amp;G21&amp;" ="</f>
        <v>1/3x1.8 =</v>
      </c>
      <c r="E42">
        <f>1/3*G21</f>
        <v>0.6</v>
      </c>
      <c r="F42">
        <f>C42*E42</f>
        <v>0.55079999999999996</v>
      </c>
    </row>
    <row r="43" spans="1:7">
      <c r="B43" t="s">
        <v>47</v>
      </c>
      <c r="C43">
        <f>SUM(C40:C42)</f>
        <v>1.2071999999999998</v>
      </c>
      <c r="E43" t="s">
        <v>48</v>
      </c>
      <c r="F43">
        <f>SUM(F40:F42)</f>
        <v>0.81108000000000002</v>
      </c>
    </row>
    <row r="45" spans="1:7">
      <c r="A45" t="s">
        <v>49</v>
      </c>
      <c r="C45" t="s">
        <v>36</v>
      </c>
      <c r="D45" t="s">
        <v>37</v>
      </c>
      <c r="E45" t="s">
        <v>38</v>
      </c>
      <c r="F45" t="s">
        <v>39</v>
      </c>
      <c r="G45" t="s">
        <v>40</v>
      </c>
    </row>
    <row r="46" spans="1:7">
      <c r="D46" t="s">
        <v>41</v>
      </c>
      <c r="F46" t="s">
        <v>42</v>
      </c>
    </row>
    <row r="47" spans="1:7">
      <c r="A47" t="s">
        <v>88</v>
      </c>
      <c r="D47" t="s">
        <v>89</v>
      </c>
      <c r="F47" t="str">
        <f>C48&amp;"x"&amp;E48&amp;"="</f>
        <v>0.792x0.1=</v>
      </c>
    </row>
    <row r="48" spans="1:7">
      <c r="A48" t="str">
        <f>"     = "&amp;G17&amp;"x"&amp;H17&amp;"x"&amp;B12</f>
        <v xml:space="preserve">     = 1.8x0.2x2.2</v>
      </c>
      <c r="C48">
        <f>G17*H17*B12</f>
        <v>0.79200000000000015</v>
      </c>
      <c r="D48" t="str">
        <f>"1/2x"&amp;H17&amp;"="</f>
        <v>1/2x0.2=</v>
      </c>
      <c r="E48">
        <f>1/2*H17</f>
        <v>0.1</v>
      </c>
      <c r="G48">
        <f>C48*E48</f>
        <v>7.920000000000002E-2</v>
      </c>
    </row>
    <row r="49" spans="1:7">
      <c r="A49" t="s">
        <v>90</v>
      </c>
      <c r="D49" t="str">
        <f>"("&amp;H17&amp;"+1/3xb)"</f>
        <v>(0.2+1/3xb)</v>
      </c>
      <c r="F49" t="str">
        <f>C50&amp;"x"&amp;FIXED(E50,3)&amp;"="</f>
        <v>0.594x0.300=</v>
      </c>
    </row>
    <row r="50" spans="1:7">
      <c r="A50" t="str">
        <f>"     = 1/2x"&amp;G18&amp;"x"&amp;H18&amp;"x"&amp;B12</f>
        <v xml:space="preserve">     = 1/2x1.8x0.3x2.2</v>
      </c>
      <c r="C50">
        <f>1/2*G18*H18*B12</f>
        <v>0.59400000000000008</v>
      </c>
      <c r="D50" t="str">
        <f>"("&amp;H17&amp;"+1/3x"&amp;H18&amp;")="</f>
        <v>(0.2+1/3x0.3)=</v>
      </c>
      <c r="E50">
        <f>(H17+1/3*H18)</f>
        <v>0.3</v>
      </c>
      <c r="G50">
        <f>C50*E50</f>
        <v>0.17820000000000003</v>
      </c>
    </row>
    <row r="51" spans="1:7">
      <c r="A51" t="s">
        <v>91</v>
      </c>
      <c r="D51" t="str">
        <f>"("&amp;H17&amp;"+2/3xb)"</f>
        <v>(0.2+2/3xb)</v>
      </c>
      <c r="F51" t="str">
        <f>C52&amp;"x"&amp;FIXED(E52,3)&amp;"="</f>
        <v>0.459x0.400=</v>
      </c>
    </row>
    <row r="52" spans="1:7">
      <c r="A52" t="str">
        <f>"     =1/2x"&amp;G19&amp;"x"&amp;H19&amp;"x"&amp;B7</f>
        <v xml:space="preserve">     =1/2x1.8x0.3x1.7</v>
      </c>
      <c r="C52">
        <f>1/2*G19*H19*B7</f>
        <v>0.45900000000000002</v>
      </c>
      <c r="D52" t="str">
        <f>"("&amp;H17&amp;"+2/3x"&amp;H18&amp;")="</f>
        <v>(0.2+2/3x0.3)=</v>
      </c>
      <c r="E52">
        <f>(H17+2/3*H18)</f>
        <v>0.4</v>
      </c>
      <c r="G52">
        <f>C52*E52</f>
        <v>0.18360000000000001</v>
      </c>
    </row>
    <row r="53" spans="1:7">
      <c r="B53" t="s">
        <v>60</v>
      </c>
      <c r="C53">
        <f>SUM(C48:C52)</f>
        <v>1.8450000000000002</v>
      </c>
      <c r="E53" t="s">
        <v>61</v>
      </c>
      <c r="G53">
        <f>SUM(G48:G52)</f>
        <v>0.44100000000000006</v>
      </c>
    </row>
    <row r="56" spans="1:7">
      <c r="A56" t="s">
        <v>62</v>
      </c>
    </row>
    <row r="57" spans="1:7">
      <c r="A57" t="s">
        <v>63</v>
      </c>
    </row>
    <row r="58" spans="1:7">
      <c r="A58" t="str">
        <f>"   ="&amp;FIXED(G53,3)&amp;" / "&amp;FIXED(F43,3)&amp;" ="</f>
        <v xml:space="preserve">   =0.441 / 0.811 =</v>
      </c>
      <c r="C58">
        <f>G53/F43</f>
        <v>0.5437194851309366</v>
      </c>
    </row>
    <row r="59" spans="1:7">
      <c r="A59" t="s">
        <v>64</v>
      </c>
      <c r="C59" t="str">
        <f>IF(C58&gt;1.5,"Cukup aman", "Rubah dimensi")</f>
        <v>Rubah dimensi</v>
      </c>
    </row>
    <row r="61" spans="1:7">
      <c r="A61" t="s">
        <v>65</v>
      </c>
    </row>
    <row r="62" spans="1:7">
      <c r="A62" t="str">
        <f>"tg(sg) = tg("&amp;B6&amp;") ="</f>
        <v>tg(sg) = tg(30) =</v>
      </c>
      <c r="C62">
        <f>TAN(B6*PI()/180)</f>
        <v>0.57735026918962573</v>
      </c>
    </row>
    <row r="63" spans="1:7">
      <c r="A63" t="s">
        <v>67</v>
      </c>
    </row>
    <row r="64" spans="1:7">
      <c r="A64" t="str">
        <f>"   = "&amp;C53&amp;" x tg("&amp;B6&amp;") / "&amp;C43&amp;" ="</f>
        <v xml:space="preserve">   = 1.845 x tg(30) / 1.2072 =</v>
      </c>
      <c r="C64">
        <f>C53*TAN(B6*PI()/180)/C43</f>
        <v>0.88238174838871741</v>
      </c>
    </row>
    <row r="65" spans="1:5">
      <c r="A65" t="s">
        <v>68</v>
      </c>
      <c r="C65" t="str">
        <f>IF(C64&gt;1.5,"Cukup aman", "Rubah dimensi")</f>
        <v>Rubah dimensi</v>
      </c>
    </row>
    <row r="67" spans="1:5">
      <c r="A67" t="s">
        <v>69</v>
      </c>
    </row>
    <row r="68" spans="1:5">
      <c r="A68" t="s">
        <v>70</v>
      </c>
    </row>
    <row r="69" spans="1:5">
      <c r="A69" t="s">
        <v>71</v>
      </c>
    </row>
    <row r="70" spans="1:5">
      <c r="A70" t="s">
        <v>72</v>
      </c>
      <c r="C70">
        <f>G53-F43</f>
        <v>-0.37007999999999996</v>
      </c>
    </row>
    <row r="71" spans="1:5">
      <c r="A71" t="s">
        <v>73</v>
      </c>
      <c r="C71">
        <f>C70/C53</f>
        <v>-0.20058536585365849</v>
      </c>
      <c r="D71" t="s">
        <v>74</v>
      </c>
    </row>
    <row r="72" spans="1:5">
      <c r="A72" t="s">
        <v>75</v>
      </c>
    </row>
    <row r="73" spans="1:5">
      <c r="A73" t="s">
        <v>76</v>
      </c>
      <c r="C73">
        <f>C71-H18/2</f>
        <v>-0.35058536585365851</v>
      </c>
    </row>
    <row r="74" spans="1:5">
      <c r="A74" t="s">
        <v>77</v>
      </c>
      <c r="C74">
        <f>H18/6</f>
        <v>4.9999999999999996E-2</v>
      </c>
    </row>
    <row r="75" spans="1:5">
      <c r="A75" t="s">
        <v>78</v>
      </c>
      <c r="C75" t="str">
        <f>IF(C73&lt;C74,"OK","Tekanan pondasi")</f>
        <v>OK</v>
      </c>
    </row>
    <row r="76" spans="1:5">
      <c r="A76" t="s">
        <v>79</v>
      </c>
      <c r="C76">
        <f>C53/(G18*H18)*(1+6*C73/H18)</f>
        <v>-20.54</v>
      </c>
      <c r="D76" t="s">
        <v>6</v>
      </c>
    </row>
    <row r="77" spans="1:5">
      <c r="A77" t="s">
        <v>80</v>
      </c>
      <c r="C77" t="str">
        <f>IF(C76&lt;D9,"ok","-")</f>
        <v>ok</v>
      </c>
      <c r="D77" t="s">
        <v>81</v>
      </c>
      <c r="E77">
        <f>D9</f>
        <v>15</v>
      </c>
    </row>
    <row r="78" spans="1:5">
      <c r="A78" t="s">
        <v>82</v>
      </c>
      <c r="C78">
        <f>C53/(G18*H18)*(1-6*C73/H18)</f>
        <v>27.373333333333335</v>
      </c>
    </row>
    <row r="79" spans="1:5">
      <c r="A79" t="s">
        <v>80</v>
      </c>
      <c r="C79" t="str">
        <f>IF(C78&lt;D9,"ok","-")</f>
        <v>-</v>
      </c>
      <c r="D79" t="s">
        <v>81</v>
      </c>
      <c r="E79">
        <f>D9</f>
        <v>15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5"/>
  <sheetData>
    <row r="1" spans="1:8">
      <c r="A1" t="s">
        <v>0</v>
      </c>
    </row>
    <row r="2" spans="1:8">
      <c r="A2" t="s">
        <v>83</v>
      </c>
    </row>
    <row r="4" spans="1:8">
      <c r="A4" t="s">
        <v>2</v>
      </c>
    </row>
    <row r="6" spans="1:8">
      <c r="A6" t="s">
        <v>3</v>
      </c>
      <c r="B6">
        <v>30</v>
      </c>
    </row>
    <row r="7" spans="1:8">
      <c r="A7" t="s">
        <v>4</v>
      </c>
      <c r="B7">
        <v>1.7</v>
      </c>
      <c r="C7" t="s">
        <v>5</v>
      </c>
      <c r="D7">
        <f>B7</f>
        <v>1.7</v>
      </c>
      <c r="E7" t="s">
        <v>6</v>
      </c>
    </row>
    <row r="8" spans="1:8">
      <c r="A8" t="s">
        <v>7</v>
      </c>
      <c r="B8">
        <v>6.9000000000000006E-2</v>
      </c>
      <c r="C8" t="s">
        <v>8</v>
      </c>
      <c r="D8">
        <f>B8*10</f>
        <v>0.69000000000000006</v>
      </c>
      <c r="E8" t="s">
        <v>9</v>
      </c>
    </row>
    <row r="9" spans="1:8">
      <c r="A9" t="s">
        <v>10</v>
      </c>
      <c r="B9">
        <v>1.5</v>
      </c>
      <c r="C9" t="s">
        <v>8</v>
      </c>
      <c r="D9">
        <f>B9*10</f>
        <v>15</v>
      </c>
      <c r="E9" t="s">
        <v>9</v>
      </c>
    </row>
    <row r="10" spans="1:8">
      <c r="A10" t="s">
        <v>11</v>
      </c>
      <c r="B10">
        <v>0.2</v>
      </c>
      <c r="C10" t="s">
        <v>8</v>
      </c>
      <c r="D10">
        <f>B10*10</f>
        <v>2</v>
      </c>
      <c r="E10" t="s">
        <v>12</v>
      </c>
    </row>
    <row r="11" spans="1:8">
      <c r="A11" t="s">
        <v>13</v>
      </c>
      <c r="B11">
        <v>0.3</v>
      </c>
      <c r="C11" t="s">
        <v>8</v>
      </c>
      <c r="D11">
        <f>B11*10</f>
        <v>3</v>
      </c>
      <c r="E11" t="s">
        <v>12</v>
      </c>
    </row>
    <row r="12" spans="1:8">
      <c r="A12" t="s">
        <v>15</v>
      </c>
      <c r="B12">
        <v>2.2000000000000002</v>
      </c>
      <c r="C12" t="s">
        <v>16</v>
      </c>
    </row>
    <row r="14" spans="1:8">
      <c r="A14" t="s">
        <v>19</v>
      </c>
    </row>
    <row r="15" spans="1:8">
      <c r="C15" t="s">
        <v>21</v>
      </c>
      <c r="D15">
        <v>0.48199999999999998</v>
      </c>
    </row>
    <row r="16" spans="1:8">
      <c r="G16" t="s">
        <v>23</v>
      </c>
      <c r="H16" t="s">
        <v>24</v>
      </c>
    </row>
    <row r="17" spans="6:8">
      <c r="F17" t="str">
        <f>"(1)"</f>
        <v>(1)</v>
      </c>
      <c r="G17">
        <v>2</v>
      </c>
      <c r="H17">
        <v>0.45</v>
      </c>
    </row>
    <row r="18" spans="6:8">
      <c r="F18" t="str">
        <f>"(2)"</f>
        <v>(2)</v>
      </c>
      <c r="G18">
        <v>2</v>
      </c>
      <c r="H18">
        <v>0.45</v>
      </c>
    </row>
    <row r="19" spans="6:8">
      <c r="F19" t="str">
        <f>"(3)"</f>
        <v>(3)</v>
      </c>
      <c r="G19">
        <v>2</v>
      </c>
      <c r="H19">
        <f>H18</f>
        <v>0.45</v>
      </c>
    </row>
    <row r="20" spans="6:8">
      <c r="F20" t="s">
        <v>31</v>
      </c>
      <c r="G20">
        <v>1.8</v>
      </c>
    </row>
    <row r="21" spans="6:8">
      <c r="F21" t="s">
        <v>32</v>
      </c>
      <c r="G21">
        <v>1.8</v>
      </c>
    </row>
    <row r="33" spans="1:7">
      <c r="A33" t="s">
        <v>33</v>
      </c>
    </row>
    <row r="34" spans="1:7">
      <c r="A34" t="s">
        <v>34</v>
      </c>
    </row>
    <row r="35" spans="1:7">
      <c r="A35" t="str">
        <f>"  = tg^2 (45 - "&amp;B6&amp;"/2) ="</f>
        <v xml:space="preserve">  = tg^2 (45 - 30/2) =</v>
      </c>
      <c r="C35">
        <f>TAN((45-B6/2)*PI()/180)^2</f>
        <v>0.33333333333333331</v>
      </c>
    </row>
    <row r="37" spans="1:7">
      <c r="A37" t="s">
        <v>35</v>
      </c>
      <c r="C37" t="s">
        <v>36</v>
      </c>
      <c r="D37" t="s">
        <v>37</v>
      </c>
      <c r="E37" t="s">
        <v>38</v>
      </c>
      <c r="F37" t="s">
        <v>39</v>
      </c>
      <c r="G37" t="s">
        <v>40</v>
      </c>
    </row>
    <row r="38" spans="1:7">
      <c r="D38" t="s">
        <v>41</v>
      </c>
      <c r="F38" t="s">
        <v>42</v>
      </c>
    </row>
    <row r="39" spans="1:7">
      <c r="A39" t="s">
        <v>84</v>
      </c>
      <c r="D39" t="str">
        <f>"1/2.(H)+"&amp;(G17-G20)</f>
        <v>1/2.(H)+0.2</v>
      </c>
      <c r="F39" t="str">
        <f>FIXED(C40,3)&amp;"x"&amp;E40&amp;"="</f>
        <v>0.289x1.1=</v>
      </c>
    </row>
    <row r="40" spans="1:7">
      <c r="A40" t="str">
        <f>"     = "&amp;D15&amp;"x"&amp;G20&amp;"x"&amp;FIXED(C35,3)&amp;" ="</f>
        <v xml:space="preserve">     = 0.482x1.8x0.333 =</v>
      </c>
      <c r="C40">
        <f>D15*G20*C35</f>
        <v>0.28920000000000001</v>
      </c>
      <c r="D40" t="str">
        <f>"1/2x"&amp;G20&amp;"+"&amp;(G17-G20)&amp;"="</f>
        <v>1/2x1.8+0.2=</v>
      </c>
      <c r="E40">
        <f>1/2*G20+(G17-G20)</f>
        <v>1.1000000000000001</v>
      </c>
      <c r="F40">
        <f>C40*E40</f>
        <v>0.31812000000000001</v>
      </c>
    </row>
    <row r="41" spans="1:7">
      <c r="A41" t="s">
        <v>86</v>
      </c>
      <c r="D41" t="str">
        <f>"1/3.H+"&amp;(G17-G20)</f>
        <v>1/3.H+0.2</v>
      </c>
      <c r="F41" t="str">
        <f>FIXED(C42,3)&amp;"x"&amp;E42&amp;" = "</f>
        <v xml:space="preserve">0.918x0.8 = </v>
      </c>
    </row>
    <row r="42" spans="1:7">
      <c r="A42" t="str">
        <f>"1/2x"&amp;D7&amp;"x"&amp;G21&amp;"^2x"&amp;FIXED(C35,3)&amp;" ="</f>
        <v>1/2x1.7x1.8^2x0.333 =</v>
      </c>
      <c r="C42">
        <f>1/2*D7*G21^2*C35</f>
        <v>0.91799999999999993</v>
      </c>
      <c r="D42" t="str">
        <f>"1/3x"&amp;G21&amp;"+"&amp;(G17-G20)&amp;" ="</f>
        <v>1/3x1.8+0.2 =</v>
      </c>
      <c r="E42">
        <f>1/3*G21+(G17-G20)</f>
        <v>0.79999999999999993</v>
      </c>
      <c r="F42">
        <f>C42*E42</f>
        <v>0.73439999999999983</v>
      </c>
    </row>
    <row r="43" spans="1:7">
      <c r="B43" t="s">
        <v>47</v>
      </c>
      <c r="C43">
        <f>SUM(C40:C42)</f>
        <v>1.2071999999999998</v>
      </c>
      <c r="E43" t="s">
        <v>48</v>
      </c>
      <c r="F43">
        <f>SUM(F40:F42)</f>
        <v>1.0525199999999999</v>
      </c>
    </row>
    <row r="45" spans="1:7">
      <c r="A45" t="s">
        <v>49</v>
      </c>
      <c r="C45" t="s">
        <v>36</v>
      </c>
      <c r="D45" t="s">
        <v>37</v>
      </c>
      <c r="E45" t="s">
        <v>38</v>
      </c>
      <c r="F45" t="s">
        <v>39</v>
      </c>
      <c r="G45" t="s">
        <v>40</v>
      </c>
    </row>
    <row r="46" spans="1:7">
      <c r="D46" t="s">
        <v>41</v>
      </c>
      <c r="F46" t="s">
        <v>42</v>
      </c>
    </row>
    <row r="47" spans="1:7">
      <c r="A47" t="s">
        <v>88</v>
      </c>
      <c r="D47" t="s">
        <v>89</v>
      </c>
      <c r="F47" t="str">
        <f>C48&amp;"x"&amp;E48&amp;"="</f>
        <v>1.98x0.225=</v>
      </c>
    </row>
    <row r="48" spans="1:7">
      <c r="A48" t="str">
        <f>"     = "&amp;G17&amp;"x"&amp;H17&amp;"x"&amp;B12</f>
        <v xml:space="preserve">     = 2x0.45x2.2</v>
      </c>
      <c r="C48">
        <f>G17*H17*B12</f>
        <v>1.9800000000000002</v>
      </c>
      <c r="D48" t="str">
        <f>"1/2x"&amp;H17&amp;"="</f>
        <v>1/2x0.45=</v>
      </c>
      <c r="E48">
        <f>1/2*H17</f>
        <v>0.22500000000000001</v>
      </c>
      <c r="G48">
        <f>C48*E48</f>
        <v>0.44550000000000006</v>
      </c>
    </row>
    <row r="49" spans="1:7">
      <c r="A49" t="s">
        <v>90</v>
      </c>
      <c r="D49" t="str">
        <f>"("&amp;H17&amp;"+1/3xb)"</f>
        <v>(0.45+1/3xb)</v>
      </c>
      <c r="F49" t="str">
        <f>C50&amp;"x"&amp;FIXED(E50,3)&amp;"="</f>
        <v>0.99x0.600=</v>
      </c>
    </row>
    <row r="50" spans="1:7">
      <c r="A50" t="str">
        <f>"     = 1/2x"&amp;G18&amp;"x"&amp;H18&amp;"x"&amp;B12</f>
        <v xml:space="preserve">     = 1/2x2x0.45x2.2</v>
      </c>
      <c r="C50">
        <f>1/2*G18*H18*B12</f>
        <v>0.9900000000000001</v>
      </c>
      <c r="D50" t="str">
        <f>"("&amp;H17&amp;"+1/3x"&amp;H18&amp;")="</f>
        <v>(0.45+1/3x0.45)=</v>
      </c>
      <c r="E50">
        <f>(H17+1/3*H18)</f>
        <v>0.6</v>
      </c>
      <c r="G50">
        <f>C50*E50</f>
        <v>0.59400000000000008</v>
      </c>
    </row>
    <row r="51" spans="1:7">
      <c r="A51" t="s">
        <v>91</v>
      </c>
      <c r="D51" t="str">
        <f>"("&amp;H17&amp;"+2/3xb)"</f>
        <v>(0.45+2/3xb)</v>
      </c>
      <c r="F51" t="str">
        <f>C52&amp;"x"&amp;FIXED(E52,3)&amp;"="</f>
        <v>0.765x0.750=</v>
      </c>
    </row>
    <row r="52" spans="1:7">
      <c r="A52" t="str">
        <f>"     =1/2x"&amp;G19&amp;"x"&amp;H19&amp;"x"&amp;B7</f>
        <v xml:space="preserve">     =1/2x2x0.45x1.7</v>
      </c>
      <c r="C52">
        <f>1/2*G19*H19*B7</f>
        <v>0.76500000000000001</v>
      </c>
      <c r="D52" t="str">
        <f>"("&amp;H17&amp;"+2/3x"&amp;H18&amp;")="</f>
        <v>(0.45+2/3x0.45)=</v>
      </c>
      <c r="E52">
        <f>(H17+2/3*H18)</f>
        <v>0.75</v>
      </c>
      <c r="G52">
        <f>C52*E52</f>
        <v>0.57374999999999998</v>
      </c>
    </row>
    <row r="53" spans="1:7">
      <c r="B53" t="s">
        <v>60</v>
      </c>
      <c r="C53">
        <f>SUM(C48:C52)</f>
        <v>3.7350000000000003</v>
      </c>
      <c r="E53" t="s">
        <v>61</v>
      </c>
      <c r="G53">
        <f>SUM(G48:G52)</f>
        <v>1.6132500000000001</v>
      </c>
    </row>
    <row r="56" spans="1:7">
      <c r="A56" t="s">
        <v>62</v>
      </c>
    </row>
    <row r="57" spans="1:7">
      <c r="A57" t="s">
        <v>63</v>
      </c>
    </row>
    <row r="58" spans="1:7">
      <c r="A58" t="str">
        <f>"   ="&amp;FIXED(G53,3)&amp;" / "&amp;FIXED(F43,3)&amp;" ="</f>
        <v xml:space="preserve">   =1.613 / 1.053 =</v>
      </c>
      <c r="C58">
        <f>G53/F43</f>
        <v>1.532749971496979</v>
      </c>
    </row>
    <row r="59" spans="1:7">
      <c r="A59" t="s">
        <v>64</v>
      </c>
      <c r="C59" t="str">
        <f>IF(C58&gt;1.5,"Cukup aman", "Rubah dimensi")</f>
        <v>Cukup aman</v>
      </c>
    </row>
    <row r="61" spans="1:7">
      <c r="A61" t="s">
        <v>65</v>
      </c>
    </row>
    <row r="62" spans="1:7">
      <c r="A62" t="str">
        <f>"tg(sg) = tg("&amp;B6&amp;") ="</f>
        <v>tg(sg) = tg(30) =</v>
      </c>
      <c r="C62">
        <f>TAN(B6*PI()/180)</f>
        <v>0.57735026918962573</v>
      </c>
    </row>
    <row r="63" spans="1:7">
      <c r="A63" t="s">
        <v>67</v>
      </c>
    </row>
    <row r="64" spans="1:7">
      <c r="A64" t="str">
        <f>"   = "&amp;C53&amp;" x tg("&amp;B6&amp;") / "&amp;C43&amp;" ="</f>
        <v xml:space="preserve">   = 3.735 x tg(30) / 1.2072 =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6"/>
  <sheetViews>
    <sheetView workbookViewId="0"/>
  </sheetViews>
  <sheetFormatPr defaultRowHeight="15"/>
  <sheetData>
    <row r="1" spans="1:8">
      <c r="A1" t="s">
        <v>0</v>
      </c>
    </row>
    <row r="2" spans="1:8">
      <c r="A2" t="s">
        <v>83</v>
      </c>
    </row>
    <row r="4" spans="1:8">
      <c r="A4" t="s">
        <v>2</v>
      </c>
    </row>
    <row r="6" spans="1:8">
      <c r="A6" t="s">
        <v>3</v>
      </c>
      <c r="B6">
        <v>30</v>
      </c>
    </row>
    <row r="7" spans="1:8">
      <c r="A7" t="s">
        <v>4</v>
      </c>
      <c r="B7">
        <v>1.7</v>
      </c>
      <c r="C7" t="s">
        <v>5</v>
      </c>
      <c r="D7">
        <f>B7</f>
        <v>1.7</v>
      </c>
      <c r="E7" t="s">
        <v>6</v>
      </c>
    </row>
    <row r="8" spans="1:8">
      <c r="A8" t="s">
        <v>7</v>
      </c>
      <c r="B8">
        <v>6.9000000000000006E-2</v>
      </c>
      <c r="C8" t="s">
        <v>8</v>
      </c>
      <c r="D8">
        <f>B8*10</f>
        <v>0.69000000000000006</v>
      </c>
      <c r="E8" t="s">
        <v>9</v>
      </c>
    </row>
    <row r="9" spans="1:8">
      <c r="A9" t="s">
        <v>10</v>
      </c>
      <c r="B9">
        <v>1.5</v>
      </c>
      <c r="C9" t="s">
        <v>8</v>
      </c>
      <c r="D9">
        <f>B9*10</f>
        <v>15</v>
      </c>
      <c r="E9" t="s">
        <v>9</v>
      </c>
    </row>
    <row r="10" spans="1:8">
      <c r="A10" t="s">
        <v>11</v>
      </c>
      <c r="B10">
        <v>0.2</v>
      </c>
      <c r="C10" t="s">
        <v>8</v>
      </c>
      <c r="D10">
        <f>B10*10</f>
        <v>2</v>
      </c>
      <c r="E10" t="s">
        <v>12</v>
      </c>
    </row>
    <row r="11" spans="1:8">
      <c r="A11" t="s">
        <v>13</v>
      </c>
      <c r="B11">
        <v>0.3</v>
      </c>
      <c r="C11" t="s">
        <v>8</v>
      </c>
      <c r="D11">
        <f>B11*10</f>
        <v>3</v>
      </c>
      <c r="E11" t="s">
        <v>12</v>
      </c>
    </row>
    <row r="12" spans="1:8">
      <c r="A12" t="s">
        <v>15</v>
      </c>
      <c r="B12">
        <v>2.2000000000000002</v>
      </c>
      <c r="C12" t="s">
        <v>16</v>
      </c>
    </row>
    <row r="14" spans="1:8">
      <c r="A14" t="s">
        <v>19</v>
      </c>
    </row>
    <row r="15" spans="1:8">
      <c r="G15" t="s">
        <v>23</v>
      </c>
      <c r="H15" t="s">
        <v>24</v>
      </c>
    </row>
    <row r="16" spans="1:8">
      <c r="F16" t="str">
        <f>"(1)"</f>
        <v>(1)</v>
      </c>
      <c r="G16">
        <v>1.8</v>
      </c>
      <c r="H16">
        <v>0.2</v>
      </c>
    </row>
    <row r="17" spans="1:8">
      <c r="F17" t="str">
        <f>"(2)"</f>
        <v>(2)</v>
      </c>
      <c r="G17">
        <v>1.8</v>
      </c>
      <c r="H17">
        <v>0.5</v>
      </c>
    </row>
    <row r="18" spans="1:8">
      <c r="F18" t="str">
        <f>"(3)"</f>
        <v>(3)</v>
      </c>
      <c r="G18">
        <v>1.8</v>
      </c>
      <c r="H18">
        <f>H17</f>
        <v>0.5</v>
      </c>
    </row>
    <row r="19" spans="1:8">
      <c r="F19" t="s">
        <v>31</v>
      </c>
      <c r="G19">
        <v>1.8</v>
      </c>
    </row>
    <row r="20" spans="1:8">
      <c r="F20" t="s">
        <v>32</v>
      </c>
      <c r="G20">
        <v>1.8</v>
      </c>
    </row>
    <row r="32" spans="1:8">
      <c r="A32" t="s">
        <v>33</v>
      </c>
    </row>
    <row r="33" spans="1:7">
      <c r="A33" t="s">
        <v>34</v>
      </c>
    </row>
    <row r="34" spans="1:7">
      <c r="A34" t="str">
        <f>"  = tg^2 (45 - "&amp;B6&amp;"/2) ="</f>
        <v xml:space="preserve">  = tg^2 (45 - 30/2) =</v>
      </c>
      <c r="C34">
        <f>TAN((45-B6/2)*PI()/180)^2</f>
        <v>0.33333333333333331</v>
      </c>
    </row>
    <row r="36" spans="1:7">
      <c r="A36" t="s">
        <v>35</v>
      </c>
      <c r="C36" t="s">
        <v>36</v>
      </c>
      <c r="D36" t="s">
        <v>37</v>
      </c>
      <c r="E36" t="s">
        <v>38</v>
      </c>
      <c r="F36" t="s">
        <v>39</v>
      </c>
      <c r="G36" t="s">
        <v>40</v>
      </c>
    </row>
    <row r="37" spans="1:7">
      <c r="D37" t="s">
        <v>41</v>
      </c>
      <c r="F37" t="s">
        <v>42</v>
      </c>
    </row>
    <row r="38" spans="1:7">
      <c r="A38" t="s">
        <v>86</v>
      </c>
      <c r="D38" t="s">
        <v>87</v>
      </c>
      <c r="F38" t="str">
        <f>FIXED(C39,3)&amp;"x"&amp;E39&amp;" = "</f>
        <v xml:space="preserve">0.918x0.6 = </v>
      </c>
    </row>
    <row r="39" spans="1:7">
      <c r="A39" t="str">
        <f>"1/2x"&amp;D7&amp;"x"&amp;G20&amp;"^2x"&amp;FIXED(C34,3)&amp;" ="</f>
        <v>1/2x1.7x1.8^2x0.333 =</v>
      </c>
      <c r="C39">
        <f>1/2*D7*G20^2*C34</f>
        <v>0.91799999999999993</v>
      </c>
      <c r="D39" t="str">
        <f>"1/3x"&amp;G20&amp;" ="</f>
        <v>1/3x1.8 =</v>
      </c>
      <c r="E39">
        <f>1/3*G20</f>
        <v>0.6</v>
      </c>
      <c r="F39">
        <f>C39*E39</f>
        <v>0.55079999999999996</v>
      </c>
    </row>
    <row r="40" spans="1:7">
      <c r="B40" t="s">
        <v>47</v>
      </c>
      <c r="C40">
        <f>SUM(C38:C39)</f>
        <v>0.91799999999999993</v>
      </c>
      <c r="E40" t="s">
        <v>48</v>
      </c>
      <c r="F40">
        <f>SUM(F38:F39)</f>
        <v>0.55079999999999996</v>
      </c>
    </row>
    <row r="42" spans="1:7">
      <c r="A42" t="s">
        <v>49</v>
      </c>
      <c r="C42" t="s">
        <v>36</v>
      </c>
      <c r="D42" t="s">
        <v>37</v>
      </c>
      <c r="E42" t="s">
        <v>38</v>
      </c>
      <c r="F42" t="s">
        <v>39</v>
      </c>
      <c r="G42" t="s">
        <v>40</v>
      </c>
    </row>
    <row r="43" spans="1:7">
      <c r="D43" t="s">
        <v>41</v>
      </c>
      <c r="F43" t="s">
        <v>42</v>
      </c>
    </row>
    <row r="44" spans="1:7">
      <c r="A44" t="s">
        <v>88</v>
      </c>
      <c r="D44" t="s">
        <v>89</v>
      </c>
      <c r="F44" t="str">
        <f>C45&amp;"x"&amp;E45&amp;"="</f>
        <v>0.792x0.1=</v>
      </c>
    </row>
    <row r="45" spans="1:7">
      <c r="A45" t="str">
        <f>"     = "&amp;G16&amp;"x"&amp;H16&amp;"x"&amp;B12</f>
        <v xml:space="preserve">     = 1.8x0.2x2.2</v>
      </c>
      <c r="C45">
        <f>G16*H16*B12</f>
        <v>0.79200000000000015</v>
      </c>
      <c r="D45" t="str">
        <f>"1/2x"&amp;H16&amp;"="</f>
        <v>1/2x0.2=</v>
      </c>
      <c r="E45">
        <f>1/2*H16</f>
        <v>0.1</v>
      </c>
      <c r="G45">
        <f>C45*E45</f>
        <v>7.920000000000002E-2</v>
      </c>
    </row>
    <row r="46" spans="1:7">
      <c r="A46" t="s">
        <v>90</v>
      </c>
      <c r="D46" t="str">
        <f>"("&amp;H16&amp;"+1/3xb)"</f>
        <v>(0.2+1/3xb)</v>
      </c>
      <c r="F46" t="str">
        <f>C47&amp;"x"&amp;FIXED(E47,3)&amp;"="</f>
        <v>0.99x0.367=</v>
      </c>
    </row>
    <row r="47" spans="1:7">
      <c r="A47" t="str">
        <f>"     = 1/2x"&amp;G17&amp;"x"&amp;H17&amp;"x"&amp;B12</f>
        <v xml:space="preserve">     = 1/2x1.8x0.5x2.2</v>
      </c>
      <c r="C47">
        <f>1/2*G17*H17*B12</f>
        <v>0.9900000000000001</v>
      </c>
      <c r="D47" t="str">
        <f>"("&amp;H16&amp;"+1/3x"&amp;H17&amp;")="</f>
        <v>(0.2+1/3x0.5)=</v>
      </c>
      <c r="E47">
        <f>(H16+1/3*H17)</f>
        <v>0.3666666666666667</v>
      </c>
      <c r="G47">
        <f>C47*E47</f>
        <v>0.36300000000000004</v>
      </c>
    </row>
    <row r="48" spans="1:7">
      <c r="A48" t="s">
        <v>91</v>
      </c>
      <c r="D48" t="str">
        <f>"("&amp;H16&amp;"+2/3xb)"</f>
        <v>(0.2+2/3xb)</v>
      </c>
      <c r="F48" t="str">
        <f>C49&amp;"x"&amp;FIXED(E49,3)&amp;"="</f>
        <v>0.765x0.533=</v>
      </c>
    </row>
    <row r="49" spans="1:7">
      <c r="A49" t="str">
        <f>"     =1/2x"&amp;G18&amp;"x"&amp;H18&amp;"x"&amp;B7</f>
        <v xml:space="preserve">     =1/2x1.8x0.5x1.7</v>
      </c>
      <c r="C49">
        <f>1/2*G18*H18*B7</f>
        <v>0.76500000000000001</v>
      </c>
      <c r="D49" t="str">
        <f>"("&amp;H16&amp;"+2/3x"&amp;H17&amp;")="</f>
        <v>(0.2+2/3x0.5)=</v>
      </c>
      <c r="E49">
        <f>(H16+2/3*H17)</f>
        <v>0.53333333333333333</v>
      </c>
      <c r="G49">
        <f>C49*E49</f>
        <v>0.40799999999999997</v>
      </c>
    </row>
    <row r="50" spans="1:7">
      <c r="B50" t="s">
        <v>60</v>
      </c>
      <c r="C50">
        <f>SUM(C45:C49)</f>
        <v>2.5470000000000002</v>
      </c>
      <c r="E50" t="s">
        <v>61</v>
      </c>
      <c r="G50">
        <f>SUM(G45:G49)</f>
        <v>0.85020000000000007</v>
      </c>
    </row>
    <row r="53" spans="1:7">
      <c r="A53" t="s">
        <v>62</v>
      </c>
    </row>
    <row r="54" spans="1:7">
      <c r="A54" t="s">
        <v>63</v>
      </c>
    </row>
    <row r="55" spans="1:7">
      <c r="A55" t="str">
        <f>"   ="&amp;FIXED(G50,3)&amp;" / "&amp;FIXED(F40,3)&amp;" ="</f>
        <v xml:space="preserve">   =0.850 / 0.551 =</v>
      </c>
      <c r="C55">
        <f>G50/F40</f>
        <v>1.5435729847494555</v>
      </c>
    </row>
    <row r="56" spans="1:7">
      <c r="A56" t="s">
        <v>64</v>
      </c>
      <c r="C56" t="str">
        <f>IF(C55&gt;1.5,"Cukup aman", "Rubah dimensi")</f>
        <v>Cukup aman</v>
      </c>
    </row>
    <row r="58" spans="1:7">
      <c r="A58" t="s">
        <v>65</v>
      </c>
    </row>
    <row r="59" spans="1:7">
      <c r="A59" t="str">
        <f>"tg(sg) = tg("&amp;B6&amp;") ="</f>
        <v>tg(sg) = tg(30) =</v>
      </c>
      <c r="C59">
        <f>TAN(B6*PI()/180)</f>
        <v>0.57735026918962573</v>
      </c>
    </row>
    <row r="60" spans="1:7">
      <c r="A60" t="s">
        <v>67</v>
      </c>
    </row>
    <row r="61" spans="1:7">
      <c r="A61" t="str">
        <f>"   = "&amp;C50&amp;" x tg("&amp;B6&amp;") / "&amp;C40&amp;" ="</f>
        <v xml:space="preserve">   = 2.547 x tg(30) / 0.918 =</v>
      </c>
      <c r="C61">
        <f>C50*TAN(B6*PI()/180)/C40</f>
        <v>1.6018639821633736</v>
      </c>
    </row>
    <row r="62" spans="1:7">
      <c r="A62" t="s">
        <v>68</v>
      </c>
      <c r="C62" t="str">
        <f>IF(C61&gt;1.5,"Cukup aman", "Rubah dimensi")</f>
        <v>Cukup aman</v>
      </c>
    </row>
    <row r="64" spans="1:7">
      <c r="A64" t="s">
        <v>69</v>
      </c>
    </row>
    <row r="65" spans="1:5">
      <c r="A65" t="s">
        <v>70</v>
      </c>
    </row>
    <row r="66" spans="1:5">
      <c r="A66" t="s">
        <v>71</v>
      </c>
    </row>
    <row r="67" spans="1:5">
      <c r="A67" t="s">
        <v>72</v>
      </c>
      <c r="C67">
        <f>G50-F40</f>
        <v>0.29940000000000011</v>
      </c>
    </row>
    <row r="68" spans="1:5">
      <c r="A68" t="s">
        <v>73</v>
      </c>
      <c r="C68">
        <f>C67/C50</f>
        <v>0.11755005889281511</v>
      </c>
      <c r="D68" t="s">
        <v>74</v>
      </c>
    </row>
    <row r="69" spans="1:5">
      <c r="A69" t="s">
        <v>75</v>
      </c>
    </row>
    <row r="70" spans="1:5">
      <c r="A70" t="s">
        <v>76</v>
      </c>
      <c r="C70">
        <f>C68-H17/2</f>
        <v>-0.13244994110718489</v>
      </c>
    </row>
    <row r="71" spans="1:5">
      <c r="A71" t="s">
        <v>77</v>
      </c>
      <c r="C71">
        <f>H17/6</f>
        <v>8.3333333333333329E-2</v>
      </c>
    </row>
    <row r="72" spans="1:5">
      <c r="A72" t="s">
        <v>78</v>
      </c>
      <c r="C72" t="str">
        <f>IF(C70&lt;C71,"OK","Tekanan pondasi")</f>
        <v>OK</v>
      </c>
    </row>
    <row r="73" spans="1:5">
      <c r="A73" t="s">
        <v>79</v>
      </c>
      <c r="C73">
        <f>C50/(G17*H17)*(1+6*C70/H17)</f>
        <v>-1.6679999999999988</v>
      </c>
      <c r="D73" t="s">
        <v>6</v>
      </c>
    </row>
    <row r="74" spans="1:5">
      <c r="A74" t="s">
        <v>80</v>
      </c>
      <c r="C74" t="str">
        <f>IF(C73&lt;D9,"ok","-")</f>
        <v>ok</v>
      </c>
      <c r="D74" t="s">
        <v>81</v>
      </c>
      <c r="E74">
        <f>D9</f>
        <v>15</v>
      </c>
    </row>
    <row r="75" spans="1:5">
      <c r="A75" t="s">
        <v>82</v>
      </c>
      <c r="C75">
        <f>C50/(G17*H17)*(1-6*C70/H17)</f>
        <v>7.3279999999999994</v>
      </c>
    </row>
    <row r="76" spans="1:5">
      <c r="A76" t="s">
        <v>80</v>
      </c>
      <c r="C76" t="str">
        <f>IF(C75&lt;D9,"ok","-")</f>
        <v>ok</v>
      </c>
      <c r="D76" t="s">
        <v>81</v>
      </c>
      <c r="E76">
        <f>D9</f>
        <v>15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5"/>
  <sheetViews>
    <sheetView topLeftCell="A55" workbookViewId="0"/>
  </sheetViews>
  <sheetFormatPr defaultRowHeight="15"/>
  <sheetData>
    <row r="1" spans="1:5">
      <c r="A1" t="s">
        <v>0</v>
      </c>
    </row>
    <row r="2" spans="1:5">
      <c r="A2" t="s">
        <v>92</v>
      </c>
    </row>
    <row r="4" spans="1:5">
      <c r="A4" t="s">
        <v>2</v>
      </c>
    </row>
    <row r="6" spans="1:5">
      <c r="A6" t="s">
        <v>3</v>
      </c>
      <c r="B6">
        <v>24.8</v>
      </c>
    </row>
    <row r="7" spans="1:5">
      <c r="A7" t="s">
        <v>7</v>
      </c>
      <c r="B7">
        <v>6.9000000000000006E-2</v>
      </c>
      <c r="C7" t="s">
        <v>8</v>
      </c>
      <c r="D7">
        <f>B7*10</f>
        <v>0.69000000000000006</v>
      </c>
      <c r="E7" t="s">
        <v>9</v>
      </c>
    </row>
    <row r="8" spans="1:5">
      <c r="A8" t="s">
        <v>10</v>
      </c>
      <c r="B8">
        <v>1.5</v>
      </c>
      <c r="C8" t="s">
        <v>8</v>
      </c>
      <c r="D8">
        <f>B8*10</f>
        <v>15</v>
      </c>
      <c r="E8" t="s">
        <v>9</v>
      </c>
    </row>
    <row r="9" spans="1:5">
      <c r="A9" t="s">
        <v>11</v>
      </c>
      <c r="B9">
        <v>0.38</v>
      </c>
      <c r="C9" t="s">
        <v>8</v>
      </c>
      <c r="D9">
        <f>B9*10</f>
        <v>3.8</v>
      </c>
      <c r="E9" t="s">
        <v>12</v>
      </c>
    </row>
    <row r="10" spans="1:5">
      <c r="A10" t="s">
        <v>13</v>
      </c>
      <c r="B10">
        <v>0.78</v>
      </c>
      <c r="C10" t="s">
        <v>8</v>
      </c>
      <c r="D10">
        <f>B10*10</f>
        <v>7.8000000000000007</v>
      </c>
      <c r="E10" t="s">
        <v>12</v>
      </c>
    </row>
    <row r="12" spans="1:5">
      <c r="A12" t="s">
        <v>19</v>
      </c>
    </row>
    <row r="14" spans="1:5">
      <c r="A14" t="s">
        <v>93</v>
      </c>
      <c r="C14">
        <f>(1-SIN(B6*PI()/180))/(1+SIN(B6*PI()/180))</f>
        <v>0.40899437517704024</v>
      </c>
    </row>
    <row r="15" spans="1:5">
      <c r="A15" t="s">
        <v>94</v>
      </c>
      <c r="C15">
        <v>3.8</v>
      </c>
    </row>
    <row r="16" spans="1:5">
      <c r="A16" t="s">
        <v>4</v>
      </c>
      <c r="B16">
        <v>1.6519999999999999</v>
      </c>
      <c r="C16" t="s">
        <v>5</v>
      </c>
      <c r="D16">
        <f>B16</f>
        <v>1.6519999999999999</v>
      </c>
      <c r="E16" t="s">
        <v>6</v>
      </c>
    </row>
    <row r="17" spans="1:6">
      <c r="A17" t="s">
        <v>95</v>
      </c>
      <c r="B17">
        <v>0</v>
      </c>
      <c r="C17" t="s">
        <v>96</v>
      </c>
    </row>
    <row r="18" spans="1:6">
      <c r="A18" t="s">
        <v>97</v>
      </c>
    </row>
    <row r="19" spans="1:6">
      <c r="A19" t="s">
        <v>98</v>
      </c>
      <c r="B19" t="s">
        <v>96</v>
      </c>
      <c r="C19" t="s">
        <v>99</v>
      </c>
      <c r="E19" t="s">
        <v>100</v>
      </c>
    </row>
    <row r="20" spans="1:6">
      <c r="A20" t="s">
        <v>101</v>
      </c>
      <c r="C20" t="s">
        <v>102</v>
      </c>
      <c r="F20" t="s">
        <v>103</v>
      </c>
    </row>
    <row r="21" spans="1:6">
      <c r="A21" t="s">
        <v>104</v>
      </c>
      <c r="B21">
        <f>C14*D16*0.5*C15^2</f>
        <v>4.8782558702616363</v>
      </c>
      <c r="C21" t="s">
        <v>105</v>
      </c>
      <c r="D21">
        <f>1/3*C15</f>
        <v>1.2666666666666666</v>
      </c>
      <c r="F21">
        <f>B21*D21</f>
        <v>6.1791241023314054</v>
      </c>
    </row>
    <row r="22" spans="1:6">
      <c r="A22" t="s">
        <v>106</v>
      </c>
      <c r="B22">
        <f>C14*B17*C15</f>
        <v>0</v>
      </c>
      <c r="C22" t="s">
        <v>107</v>
      </c>
      <c r="D22">
        <f>1/2*C15</f>
        <v>1.9</v>
      </c>
      <c r="F22">
        <f>B22*D22</f>
        <v>0</v>
      </c>
    </row>
    <row r="23" spans="1:6">
      <c r="A23" t="s">
        <v>108</v>
      </c>
      <c r="B23">
        <f>SUM(B21:B22)</f>
        <v>4.8782558702616363</v>
      </c>
      <c r="D23" t="s">
        <v>109</v>
      </c>
      <c r="F23">
        <f>SUM(F21:F22)</f>
        <v>6.1791241023314054</v>
      </c>
    </row>
    <row r="26" spans="1:6">
      <c r="A26" t="s">
        <v>15</v>
      </c>
      <c r="B26">
        <v>2</v>
      </c>
      <c r="C26" t="s">
        <v>16</v>
      </c>
    </row>
    <row r="27" spans="1:6">
      <c r="A27" t="s">
        <v>4</v>
      </c>
      <c r="B27">
        <f>B16</f>
        <v>1.6519999999999999</v>
      </c>
      <c r="C27" t="s">
        <v>5</v>
      </c>
      <c r="D27">
        <f>B27</f>
        <v>1.6519999999999999</v>
      </c>
      <c r="E27" t="s">
        <v>6</v>
      </c>
    </row>
    <row r="28" spans="1:6">
      <c r="A28" t="s">
        <v>110</v>
      </c>
    </row>
    <row r="29" spans="1:6">
      <c r="B29" t="s">
        <v>111</v>
      </c>
      <c r="C29" t="s">
        <v>94</v>
      </c>
      <c r="D29" t="s">
        <v>112</v>
      </c>
      <c r="E29" t="s">
        <v>113</v>
      </c>
      <c r="F29" t="s">
        <v>114</v>
      </c>
    </row>
    <row r="30" spans="1:6">
      <c r="A30" t="s">
        <v>115</v>
      </c>
      <c r="B30">
        <v>0.185</v>
      </c>
      <c r="C30">
        <v>3.2</v>
      </c>
      <c r="D30">
        <f>1/2*B30*C30*B26</f>
        <v>0.59199999999999997</v>
      </c>
      <c r="E30">
        <v>1.72</v>
      </c>
      <c r="F30">
        <f t="shared" ref="F30:F35" si="0">D30*E30</f>
        <v>1.01824</v>
      </c>
    </row>
    <row r="31" spans="1:6">
      <c r="A31" t="s">
        <v>116</v>
      </c>
      <c r="B31">
        <v>0.69499999999999995</v>
      </c>
      <c r="C31">
        <v>3.2</v>
      </c>
      <c r="D31">
        <f>1/2*B31*C31*B26</f>
        <v>2.2239999999999998</v>
      </c>
      <c r="E31">
        <v>1.06</v>
      </c>
      <c r="F31">
        <f t="shared" si="0"/>
        <v>2.35744</v>
      </c>
    </row>
    <row r="32" spans="1:6">
      <c r="A32" t="s">
        <v>117</v>
      </c>
      <c r="B32">
        <v>0.37</v>
      </c>
      <c r="C32">
        <v>3.2</v>
      </c>
      <c r="D32">
        <f>B32*C32*B26</f>
        <v>2.3679999999999999</v>
      </c>
      <c r="E32">
        <v>1.48</v>
      </c>
      <c r="F32">
        <f t="shared" si="0"/>
        <v>3.5046399999999998</v>
      </c>
    </row>
    <row r="33" spans="1:7">
      <c r="A33" t="s">
        <v>118</v>
      </c>
      <c r="B33">
        <v>2.4500000000000002</v>
      </c>
      <c r="C33">
        <v>1.25</v>
      </c>
      <c r="D33">
        <f>B33*C33*B26</f>
        <v>6.125</v>
      </c>
      <c r="E33">
        <v>1225</v>
      </c>
      <c r="F33">
        <f t="shared" si="0"/>
        <v>7503.125</v>
      </c>
    </row>
    <row r="34" spans="1:7">
      <c r="A34" t="s">
        <v>119</v>
      </c>
      <c r="B34">
        <v>0.69499999999999995</v>
      </c>
      <c r="C34">
        <v>3.2</v>
      </c>
      <c r="D34">
        <f>1/2*B34*C34*D27</f>
        <v>1.8370239999999998</v>
      </c>
      <c r="E34">
        <v>0.83199999999999996</v>
      </c>
      <c r="F34">
        <f t="shared" si="0"/>
        <v>1.5284039679999997</v>
      </c>
    </row>
    <row r="35" spans="1:7">
      <c r="A35" t="s">
        <v>120</v>
      </c>
      <c r="B35">
        <v>0.6</v>
      </c>
      <c r="C35">
        <v>3.2</v>
      </c>
      <c r="D35">
        <f>B35*C35*D27</f>
        <v>3.1718399999999995</v>
      </c>
      <c r="E35">
        <v>0.3</v>
      </c>
      <c r="F35">
        <f t="shared" si="0"/>
        <v>0.95155199999999984</v>
      </c>
    </row>
    <row r="36" spans="1:7">
      <c r="C36" t="s">
        <v>121</v>
      </c>
      <c r="D36">
        <f>SUM(D30:D35)</f>
        <v>16.317864</v>
      </c>
      <c r="E36" t="s">
        <v>122</v>
      </c>
      <c r="F36">
        <f>SUM(F30:F35)</f>
        <v>7512.4852759680007</v>
      </c>
    </row>
    <row r="38" spans="1:7">
      <c r="A38" t="s">
        <v>123</v>
      </c>
    </row>
    <row r="39" spans="1:7">
      <c r="A39" t="s">
        <v>124</v>
      </c>
      <c r="B39">
        <f>D36*TAN(B6*PI()/180)/B23</f>
        <v>1.5456162828413</v>
      </c>
      <c r="C39" t="s">
        <v>125</v>
      </c>
      <c r="D39">
        <v>1.5</v>
      </c>
      <c r="E39" t="str">
        <f>"( "&amp;IF(B39&gt;D39,"Aman","berguling")&amp;" )"</f>
        <v>( Aman )</v>
      </c>
    </row>
    <row r="41" spans="1:7">
      <c r="A41" t="s">
        <v>126</v>
      </c>
    </row>
    <row r="42" spans="1:7">
      <c r="A42" t="s">
        <v>127</v>
      </c>
    </row>
    <row r="43" spans="1:7">
      <c r="A43" t="s">
        <v>128</v>
      </c>
    </row>
    <row r="44" spans="1:7">
      <c r="A44" t="s">
        <v>129</v>
      </c>
      <c r="B44">
        <f>F36-F23</f>
        <v>7506.3061518656696</v>
      </c>
    </row>
    <row r="45" spans="1:7">
      <c r="A45" t="s">
        <v>130</v>
      </c>
      <c r="B45">
        <f>B44/D36</f>
        <v>460.005436487623</v>
      </c>
      <c r="C45" t="s">
        <v>74</v>
      </c>
    </row>
    <row r="46" spans="1:7">
      <c r="A46" t="s">
        <v>131</v>
      </c>
    </row>
    <row r="47" spans="1:7">
      <c r="A47" t="s">
        <v>132</v>
      </c>
      <c r="B47">
        <f>B33/2</f>
        <v>1.2250000000000001</v>
      </c>
      <c r="C47" t="s">
        <v>133</v>
      </c>
      <c r="E47" t="str">
        <f>"  &lt; 1/6."&amp;B33&amp;" = "&amp;1/6*B33</f>
        <v xml:space="preserve">  &lt; 1/6.2.45 = 0.408333333333333</v>
      </c>
      <c r="G47" t="str">
        <f>IF(B47&lt;1/6*B33,"Aman","perlu kontrol guling")</f>
        <v>perlu kontrol guling</v>
      </c>
    </row>
    <row r="49" spans="1:6">
      <c r="A49" t="s">
        <v>134</v>
      </c>
    </row>
    <row r="50" spans="1:6">
      <c r="A50" t="s">
        <v>135</v>
      </c>
      <c r="B50">
        <f>F36/F23</f>
        <v>1215.7848186174986</v>
      </c>
      <c r="C50" t="s">
        <v>125</v>
      </c>
      <c r="D50">
        <v>1.5</v>
      </c>
      <c r="E50" t="str">
        <f>"( "&amp;IF(B50&gt;D50,"Aman","berguling")&amp;" )"</f>
        <v>( Aman )</v>
      </c>
    </row>
    <row r="52" spans="1:6">
      <c r="A52" t="s">
        <v>136</v>
      </c>
    </row>
    <row r="53" spans="1:6">
      <c r="A53" t="s">
        <v>93</v>
      </c>
      <c r="C53">
        <f>(1-SIN(B6*PI()/180))/(1+SIN(B6*PI()/180))</f>
        <v>0.40899437517704024</v>
      </c>
    </row>
    <row r="54" spans="1:6">
      <c r="A54" t="s">
        <v>94</v>
      </c>
      <c r="C54">
        <v>3.2</v>
      </c>
    </row>
    <row r="55" spans="1:6">
      <c r="A55" t="s">
        <v>4</v>
      </c>
      <c r="B55">
        <v>1.6519999999999999</v>
      </c>
      <c r="C55" t="s">
        <v>5</v>
      </c>
      <c r="D55">
        <f>B55</f>
        <v>1.6519999999999999</v>
      </c>
      <c r="E55" t="s">
        <v>6</v>
      </c>
    </row>
    <row r="56" spans="1:6">
      <c r="A56" t="s">
        <v>95</v>
      </c>
      <c r="B56">
        <v>0</v>
      </c>
      <c r="C56" t="s">
        <v>96</v>
      </c>
    </row>
    <row r="57" spans="1:6">
      <c r="A57" t="s">
        <v>97</v>
      </c>
    </row>
    <row r="58" spans="1:6">
      <c r="A58" t="s">
        <v>98</v>
      </c>
      <c r="B58" t="s">
        <v>96</v>
      </c>
      <c r="C58" t="s">
        <v>99</v>
      </c>
      <c r="E58" t="s">
        <v>100</v>
      </c>
    </row>
    <row r="59" spans="1:6">
      <c r="A59" t="s">
        <v>101</v>
      </c>
      <c r="C59" t="s">
        <v>102</v>
      </c>
      <c r="F59" t="s">
        <v>103</v>
      </c>
    </row>
    <row r="60" spans="1:6">
      <c r="A60" t="s">
        <v>104</v>
      </c>
      <c r="B60">
        <f>C53*D55*0.5*C54^2</f>
        <v>3.4593725838974492</v>
      </c>
      <c r="C60" t="s">
        <v>105</v>
      </c>
      <c r="D60">
        <f>1/3*C54</f>
        <v>1.0666666666666667</v>
      </c>
      <c r="F60">
        <f>B60*D60</f>
        <v>3.6899974228239456</v>
      </c>
    </row>
    <row r="61" spans="1:6">
      <c r="A61" t="s">
        <v>106</v>
      </c>
      <c r="B61">
        <f>C53*B56*C54</f>
        <v>0</v>
      </c>
      <c r="C61" t="s">
        <v>107</v>
      </c>
      <c r="D61">
        <f>1/2*C54</f>
        <v>1.6</v>
      </c>
      <c r="F61">
        <f>B61*D61</f>
        <v>0</v>
      </c>
    </row>
    <row r="62" spans="1:6">
      <c r="A62" t="s">
        <v>108</v>
      </c>
      <c r="B62">
        <f>SUM(B60:B61)</f>
        <v>3.4593725838974492</v>
      </c>
      <c r="D62" t="s">
        <v>109</v>
      </c>
      <c r="F62">
        <f>SUM(F60:F61)</f>
        <v>3.6899974228239456</v>
      </c>
    </row>
    <row r="64" spans="1:6">
      <c r="A64" t="s">
        <v>15</v>
      </c>
      <c r="B64">
        <v>2</v>
      </c>
      <c r="C64" t="s">
        <v>16</v>
      </c>
    </row>
    <row r="65" spans="1:6">
      <c r="A65" t="s">
        <v>4</v>
      </c>
      <c r="B65">
        <f>B55</f>
        <v>1.6519999999999999</v>
      </c>
      <c r="C65" t="s">
        <v>5</v>
      </c>
      <c r="D65">
        <f>B65</f>
        <v>1.6519999999999999</v>
      </c>
      <c r="E65" t="s">
        <v>6</v>
      </c>
    </row>
    <row r="66" spans="1:6">
      <c r="A66" t="s">
        <v>110</v>
      </c>
    </row>
    <row r="67" spans="1:6">
      <c r="B67" t="s">
        <v>111</v>
      </c>
      <c r="C67" t="s">
        <v>94</v>
      </c>
      <c r="D67" t="s">
        <v>112</v>
      </c>
      <c r="E67" t="s">
        <v>113</v>
      </c>
      <c r="F67" t="s">
        <v>114</v>
      </c>
    </row>
    <row r="68" spans="1:6">
      <c r="A68" t="s">
        <v>115</v>
      </c>
      <c r="B68">
        <v>0.185</v>
      </c>
      <c r="C68">
        <v>3.2</v>
      </c>
      <c r="D68">
        <f>1/2*B68*C68*B64</f>
        <v>0.59199999999999997</v>
      </c>
      <c r="E68">
        <v>1.127</v>
      </c>
      <c r="F68">
        <f>D68*E68</f>
        <v>0.667184</v>
      </c>
    </row>
    <row r="69" spans="1:6">
      <c r="A69" t="s">
        <v>116</v>
      </c>
      <c r="B69">
        <v>0.64500000000000002</v>
      </c>
      <c r="C69">
        <v>3.2</v>
      </c>
      <c r="D69">
        <f>1/2*B69*C69*B64</f>
        <v>2.0640000000000001</v>
      </c>
      <c r="E69">
        <v>0.46300000000000002</v>
      </c>
      <c r="F69">
        <f>D69*E69</f>
        <v>0.95563200000000004</v>
      </c>
    </row>
    <row r="70" spans="1:6">
      <c r="A70" t="s">
        <v>117</v>
      </c>
      <c r="B70">
        <v>0.37</v>
      </c>
      <c r="C70">
        <v>3.2</v>
      </c>
      <c r="D70">
        <f>B70*C70*B64</f>
        <v>2.3679999999999999</v>
      </c>
      <c r="E70">
        <v>0.88</v>
      </c>
      <c r="F70">
        <f>D70*E70</f>
        <v>2.0838399999999999</v>
      </c>
    </row>
    <row r="71" spans="1:6">
      <c r="C71" t="s">
        <v>121</v>
      </c>
      <c r="D71">
        <f>SUM(D68:D70)</f>
        <v>5.024</v>
      </c>
      <c r="E71" t="s">
        <v>122</v>
      </c>
      <c r="F71">
        <f>SUM(F68:F70)</f>
        <v>3.7066559999999997</v>
      </c>
    </row>
    <row r="73" spans="1:6">
      <c r="A73" t="s">
        <v>137</v>
      </c>
    </row>
    <row r="75" spans="1:6">
      <c r="A75" t="s">
        <v>138</v>
      </c>
      <c r="B75">
        <f>D71*1/B62</f>
        <v>1.4522864704962735</v>
      </c>
      <c r="C75" t="s">
        <v>125</v>
      </c>
      <c r="D75">
        <v>1.5</v>
      </c>
      <c r="E75" t="str">
        <f>"( "&amp;IF(B75&gt;D75,"Aman","bergeser")&amp;" )"</f>
        <v>( bergeser )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7"/>
  <sheetViews>
    <sheetView topLeftCell="A31" workbookViewId="0"/>
  </sheetViews>
  <sheetFormatPr defaultRowHeight="15"/>
  <cols>
    <col min="1" max="1" width="77.42578125" bestFit="1" customWidth="1"/>
  </cols>
  <sheetData>
    <row r="1" spans="1:2">
      <c r="A1" t="s">
        <v>139</v>
      </c>
    </row>
    <row r="2" spans="1:2">
      <c r="A2" t="s">
        <v>92</v>
      </c>
    </row>
    <row r="4" spans="1:2">
      <c r="A4" t="s">
        <v>140</v>
      </c>
      <c r="B4">
        <v>3460</v>
      </c>
    </row>
    <row r="5" spans="1:2">
      <c r="A5" t="s">
        <v>141</v>
      </c>
      <c r="B5">
        <f>B4*10%*5</f>
        <v>1730</v>
      </c>
    </row>
    <row r="6" spans="1:2">
      <c r="A6" t="s">
        <v>142</v>
      </c>
      <c r="B6">
        <v>0.3</v>
      </c>
    </row>
    <row r="7" spans="1:2">
      <c r="A7" t="s">
        <v>143</v>
      </c>
      <c r="B7">
        <v>1</v>
      </c>
    </row>
    <row r="8" spans="1:2">
      <c r="A8" t="s">
        <v>144</v>
      </c>
      <c r="B8">
        <v>1.5</v>
      </c>
    </row>
    <row r="9" spans="1:2">
      <c r="A9" t="s">
        <v>145</v>
      </c>
      <c r="B9">
        <v>1.5</v>
      </c>
    </row>
    <row r="10" spans="1:2">
      <c r="A10" t="s">
        <v>146</v>
      </c>
      <c r="B10">
        <v>1.5</v>
      </c>
    </row>
    <row r="11" spans="1:2">
      <c r="A11" t="str">
        <f>" (Aplat = "&amp;B9*B9*10000&amp;" cm2 &gt; Apondasi = "&amp;FIXED(B18,1)&amp;" cm2)"&amp;IF(B9*B9*10000&gt;B18," ok!"," ubah dimensi!")</f>
        <v xml:space="preserve"> (Aplat = 22500 cm2 &gt; Apondasi = 4,779.0 cm2) ok!</v>
      </c>
    </row>
    <row r="12" spans="1:2">
      <c r="A12" t="str">
        <f>B27</f>
        <v>ok</v>
      </c>
    </row>
    <row r="14" spans="1:2">
      <c r="A14" t="s">
        <v>147</v>
      </c>
      <c r="B14">
        <f>B6*2400*0.0001</f>
        <v>7.2000000000000008E-2</v>
      </c>
    </row>
    <row r="15" spans="1:2">
      <c r="A15" t="s">
        <v>148</v>
      </c>
      <c r="B15">
        <f>(B8-B6)*0.17</f>
        <v>0.20400000000000001</v>
      </c>
    </row>
    <row r="16" spans="1:2">
      <c r="A16" t="s">
        <v>149</v>
      </c>
      <c r="B16">
        <f>SUM(B14:B15)</f>
        <v>0.27600000000000002</v>
      </c>
    </row>
    <row r="17" spans="1:2">
      <c r="A17" t="s">
        <v>150</v>
      </c>
      <c r="B17">
        <f>B7-B16</f>
        <v>0.72399999999999998</v>
      </c>
    </row>
    <row r="18" spans="1:2">
      <c r="A18" t="s">
        <v>151</v>
      </c>
      <c r="B18">
        <f>B4/B17</f>
        <v>4779.0055248618783</v>
      </c>
    </row>
    <row r="19" spans="1:2">
      <c r="A19" t="s">
        <v>152</v>
      </c>
      <c r="B19">
        <f>(B7*B10)-B16</f>
        <v>1.224</v>
      </c>
    </row>
    <row r="20" spans="1:2">
      <c r="A20" t="s">
        <v>153</v>
      </c>
      <c r="B20">
        <f>B9*100</f>
        <v>150</v>
      </c>
    </row>
    <row r="21" spans="1:2">
      <c r="A21" t="s">
        <v>154</v>
      </c>
      <c r="B21">
        <f>B5*100</f>
        <v>173000</v>
      </c>
    </row>
    <row r="22" spans="1:2">
      <c r="A22" t="s">
        <v>155</v>
      </c>
      <c r="B22">
        <f>B4/(B20^2)+B21/(1/6*B20*B20^2)</f>
        <v>0.46133333333333337</v>
      </c>
    </row>
    <row r="23" spans="1:2">
      <c r="A23" t="s">
        <v>156</v>
      </c>
      <c r="B23" t="str">
        <f>IF(B22&lt;=B19,"ok", "ubah dimensi")</f>
        <v>ok</v>
      </c>
    </row>
    <row r="24" spans="1:2">
      <c r="A24" t="s">
        <v>157</v>
      </c>
      <c r="B24">
        <f>B21/B4</f>
        <v>50</v>
      </c>
    </row>
    <row r="25" spans="1:2">
      <c r="A25" t="s">
        <v>158</v>
      </c>
    </row>
    <row r="26" spans="1:2">
      <c r="A26" t="s">
        <v>159</v>
      </c>
      <c r="B26">
        <f>2*B4/(3*B20*(0.5*B20-B24))</f>
        <v>0.61511111111111116</v>
      </c>
    </row>
    <row r="27" spans="1:2">
      <c r="A27" t="s">
        <v>160</v>
      </c>
      <c r="B27" t="str">
        <f>IF(B26&lt;=B19,"ok","ubah dimensi")</f>
        <v>ok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wall</vt:lpstr>
      <vt:lpstr>wall (2)</vt:lpstr>
      <vt:lpstr>wall (3)</vt:lpstr>
      <vt:lpstr>wall (4)</vt:lpstr>
      <vt:lpstr>tennis1</vt:lpstr>
      <vt:lpstr>pondtelapak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Arga</dc:creator>
  <cp:lastModifiedBy>Arga</cp:lastModifiedBy>
  <dcterms:created xsi:type="dcterms:W3CDTF">2020-01-30T02:26:35Z</dcterms:created>
  <dcterms:modified xsi:type="dcterms:W3CDTF">2020-01-30T02:26:35Z</dcterms:modified>
</cp:coreProperties>
</file>