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ga\Documents\"/>
    </mc:Choice>
  </mc:AlternateContent>
  <bookViews>
    <workbookView xWindow="0" yWindow="0" windowWidth="20490" windowHeight="7815"/>
  </bookViews>
  <sheets>
    <sheet name="Input Data" sheetId="6" r:id="rId1"/>
    <sheet name="Urutan Desain Pondasi" sheetId="8" r:id="rId2"/>
    <sheet name="hasil perhitungan" sheetId="4" r:id="rId3"/>
    <sheet name="Kontrol" sheetId="5" r:id="rId4"/>
    <sheet name="Desain Penulangan Pondasi" sheetId="2" r:id="rId5"/>
    <sheet name="kontrol program" sheetId="7" state="hidden" r:id="rId6"/>
  </sheets>
  <definedNames>
    <definedName name="_xlnm.Print_Area" localSheetId="4">'Desain Penulangan Pondasi'!$A$1:$T$77</definedName>
    <definedName name="_xlnm.Print_Area" localSheetId="2">'hasil perhitungan'!$A$1:$S$316</definedName>
    <definedName name="_xlnm.Print_Area" localSheetId="0">'Input Data'!$A$1:$T$63</definedName>
    <definedName name="_xlnm.Print_Area" localSheetId="3">Kontrol!$A$1:$T$175</definedName>
    <definedName name="_xlnm.Print_Titles" localSheetId="4">'Desain Penulangan Pondasi'!$1:$7</definedName>
    <definedName name="_xlnm.Print_Titles" localSheetId="2">'hasil perhitungan'!$1:$7</definedName>
    <definedName name="_xlnm.Print_Titles" localSheetId="0">'Input Data'!#REF!</definedName>
    <definedName name="_xlnm.Print_Titles" localSheetId="3">Kontrol!$1:$7</definedName>
  </definedNames>
  <calcPr calcId="162913"/>
</workbook>
</file>

<file path=xl/calcChain.xml><?xml version="1.0" encoding="utf-8"?>
<calcChain xmlns="http://schemas.openxmlformats.org/spreadsheetml/2006/main">
  <c r="G20" i="6" l="1"/>
  <c r="Z30" i="6"/>
  <c r="Z28" i="6"/>
  <c r="C6" i="5"/>
  <c r="C7" i="4"/>
  <c r="R7" i="2"/>
  <c r="R7" i="5"/>
  <c r="Q7" i="4"/>
  <c r="C7" i="2"/>
  <c r="C7" i="5"/>
  <c r="C9" i="6"/>
  <c r="Q47" i="6"/>
  <c r="Q46" i="6"/>
  <c r="H29" i="7"/>
  <c r="E263" i="4"/>
  <c r="C263" i="4"/>
  <c r="O275" i="4" s="1"/>
  <c r="C6" i="2"/>
  <c r="L21" i="5"/>
  <c r="C6" i="7" s="1"/>
  <c r="D4" i="7"/>
  <c r="N6" i="4"/>
  <c r="C6" i="4"/>
  <c r="G55" i="5"/>
  <c r="L57" i="5" s="1"/>
  <c r="M49" i="5"/>
  <c r="K49" i="5"/>
  <c r="G49" i="5"/>
  <c r="K36" i="5"/>
  <c r="I35" i="5"/>
  <c r="G35" i="5"/>
  <c r="J20" i="5"/>
  <c r="K26" i="5" s="1"/>
  <c r="K19" i="5"/>
  <c r="B4" i="7" s="1"/>
  <c r="Q18" i="5"/>
  <c r="Q24" i="5" s="1"/>
  <c r="N17" i="5"/>
  <c r="N23" i="5" s="1"/>
  <c r="I17" i="5"/>
  <c r="I23" i="5" s="1"/>
  <c r="B43" i="2"/>
  <c r="G9" i="2"/>
  <c r="F46" i="2" s="1"/>
  <c r="G34" i="2"/>
  <c r="J40" i="2"/>
  <c r="G29" i="2" s="1"/>
  <c r="M56" i="6" s="1"/>
  <c r="G304" i="4"/>
  <c r="E297" i="4"/>
  <c r="C298" i="4" s="1"/>
  <c r="G289" i="4"/>
  <c r="F246" i="4"/>
  <c r="I244" i="4"/>
  <c r="E244" i="4"/>
  <c r="I236" i="4"/>
  <c r="I222" i="4"/>
  <c r="N220" i="4"/>
  <c r="M220" i="4"/>
  <c r="I220" i="4"/>
  <c r="E212" i="4"/>
  <c r="L194" i="4"/>
  <c r="E194" i="4"/>
  <c r="J186" i="4"/>
  <c r="J178" i="4"/>
  <c r="L173" i="4"/>
  <c r="N173" i="4" s="1"/>
  <c r="L153" i="4"/>
  <c r="P141" i="4"/>
  <c r="M141" i="4"/>
  <c r="O129" i="4"/>
  <c r="C109" i="4"/>
  <c r="F97" i="4"/>
  <c r="H100" i="4" s="1"/>
  <c r="F96" i="4"/>
  <c r="M83" i="4"/>
  <c r="M81" i="4"/>
  <c r="D70" i="4"/>
  <c r="D46" i="4" s="1"/>
  <c r="L56" i="4" s="1"/>
  <c r="G63" i="4"/>
  <c r="L71" i="4" s="1"/>
  <c r="A64" i="4"/>
  <c r="G53" i="4"/>
  <c r="A180" i="4" s="1"/>
  <c r="J52" i="4"/>
  <c r="L48" i="4"/>
  <c r="J49" i="4" s="1"/>
  <c r="L52" i="4" s="1"/>
  <c r="G145" i="4" s="1"/>
  <c r="H26" i="4"/>
  <c r="H38" i="4" s="1"/>
  <c r="C26" i="4"/>
  <c r="C38" i="4" s="1"/>
  <c r="N25" i="4"/>
  <c r="N37" i="4" s="1"/>
  <c r="G24" i="4"/>
  <c r="C24" i="4"/>
  <c r="C36" i="4" s="1"/>
  <c r="I13" i="4"/>
  <c r="G13" i="4"/>
  <c r="E13" i="4"/>
  <c r="C13" i="4"/>
  <c r="F16" i="7" l="1"/>
  <c r="E271" i="4" s="1"/>
  <c r="F18" i="7"/>
  <c r="E273" i="4" s="1"/>
  <c r="O16" i="7"/>
  <c r="N271" i="4" s="1"/>
  <c r="Q16" i="7"/>
  <c r="P271" i="4" s="1"/>
  <c r="G275" i="4"/>
  <c r="D16" i="7"/>
  <c r="C271" i="4" s="1"/>
  <c r="M16" i="7"/>
  <c r="L271" i="4" s="1"/>
  <c r="O18" i="7"/>
  <c r="N273" i="4" s="1"/>
  <c r="I264" i="4"/>
  <c r="D263" i="4"/>
  <c r="B8" i="7"/>
  <c r="B10" i="7" s="1"/>
  <c r="L26" i="5" s="1"/>
  <c r="G28" i="5" s="1"/>
  <c r="G29" i="5" s="1"/>
  <c r="F42" i="5" s="1"/>
  <c r="G39" i="5"/>
  <c r="C42" i="5" s="1"/>
  <c r="G51" i="5"/>
  <c r="G53" i="5" s="1"/>
  <c r="G57" i="5" s="1"/>
  <c r="P57" i="5" s="1"/>
  <c r="D76" i="4"/>
  <c r="D136" i="4" s="1"/>
  <c r="C224" i="4"/>
  <c r="G227" i="4" s="1"/>
  <c r="J53" i="4"/>
  <c r="G84" i="4" s="1"/>
  <c r="O82" i="4"/>
  <c r="C19" i="2"/>
  <c r="E115" i="4"/>
  <c r="E119" i="4" s="1"/>
  <c r="C14" i="4"/>
  <c r="L25" i="4" s="1"/>
  <c r="L37" i="4" s="1"/>
  <c r="G40" i="4" s="1"/>
  <c r="J174" i="4"/>
  <c r="G36" i="4"/>
  <c r="L186" i="4"/>
  <c r="J189" i="4" s="1"/>
  <c r="J190" i="4" s="1"/>
  <c r="L202" i="4" s="1"/>
  <c r="H99" i="4"/>
  <c r="E113" i="4"/>
  <c r="G119" i="4" l="1"/>
  <c r="M20" i="7"/>
  <c r="L275" i="4"/>
  <c r="I42" i="5"/>
  <c r="J100" i="4"/>
  <c r="L100" i="4" s="1"/>
  <c r="O100" i="4" s="1"/>
  <c r="H109" i="4" s="1"/>
  <c r="N153" i="4"/>
  <c r="J175" i="4"/>
  <c r="E76" i="4"/>
  <c r="G143" i="4"/>
  <c r="E136" i="4" s="1"/>
  <c r="H129" i="4"/>
  <c r="D173" i="4"/>
  <c r="N56" i="4"/>
  <c r="Q129" i="4"/>
  <c r="R141" i="4"/>
  <c r="J99" i="4"/>
  <c r="N141" i="4"/>
  <c r="Q82" i="4"/>
  <c r="K119" i="4"/>
  <c r="G28" i="4"/>
  <c r="D57" i="4"/>
  <c r="J26" i="4"/>
  <c r="E26" i="4"/>
  <c r="F202" i="4"/>
  <c r="G194" i="4"/>
  <c r="L99" i="4"/>
  <c r="O99" i="4" s="1"/>
  <c r="F109" i="4" s="1"/>
  <c r="I119" i="4"/>
  <c r="G114" i="4"/>
  <c r="M131" i="4" s="1"/>
  <c r="C121" i="4" l="1"/>
  <c r="M153" i="4" s="1"/>
  <c r="J156" i="4" s="1"/>
  <c r="J157" i="4" s="1"/>
  <c r="C163" i="4" s="1"/>
  <c r="C136" i="4"/>
  <c r="H131" i="4" s="1"/>
  <c r="H127" i="4"/>
  <c r="G181" i="4"/>
  <c r="L45" i="2" s="1"/>
  <c r="L43" i="2" s="1"/>
  <c r="L178" i="4"/>
  <c r="J179" i="4" s="1"/>
  <c r="K85" i="4"/>
  <c r="E38" i="4"/>
  <c r="C40" i="4" s="1"/>
  <c r="C28" i="4"/>
  <c r="S62" i="4"/>
  <c r="E55" i="4"/>
  <c r="L62" i="4"/>
  <c r="J38" i="4"/>
  <c r="E40" i="4" s="1"/>
  <c r="E28" i="4"/>
  <c r="P129" i="4" l="1"/>
  <c r="K133" i="4" s="1"/>
  <c r="K134" i="4" s="1"/>
  <c r="C161" i="4" s="1"/>
  <c r="M143" i="4"/>
  <c r="Q141" i="4"/>
  <c r="H27" i="7"/>
  <c r="K87" i="4"/>
  <c r="H32" i="7"/>
  <c r="O49" i="6" s="1"/>
  <c r="Q50" i="6" s="1"/>
  <c r="H28" i="7"/>
  <c r="O47" i="6" s="1"/>
  <c r="J180" i="4"/>
  <c r="H16" i="7" s="1"/>
  <c r="G180" i="4"/>
  <c r="J56" i="4"/>
  <c r="J57" i="4" s="1"/>
  <c r="J58" i="4" s="1"/>
  <c r="N62" i="4" s="1"/>
  <c r="D86" i="4"/>
  <c r="C42" i="4"/>
  <c r="B92" i="4" s="1"/>
  <c r="B154" i="4" s="1"/>
  <c r="B190" i="4" s="1"/>
  <c r="C30" i="4"/>
  <c r="G92" i="4" s="1"/>
  <c r="F155" i="4" s="1"/>
  <c r="F190" i="4" s="1"/>
  <c r="K145" i="4" l="1"/>
  <c r="K146" i="4" s="1"/>
  <c r="C162" i="4" s="1"/>
  <c r="C165" i="4" s="1"/>
  <c r="E166" i="4" s="1"/>
  <c r="C167" i="4" s="1"/>
  <c r="C169" i="4" s="1"/>
  <c r="H35" i="7" s="1"/>
  <c r="O52" i="6" s="1"/>
  <c r="Q53" i="6" s="1"/>
  <c r="O46" i="6"/>
  <c r="P46" i="6" s="1"/>
  <c r="P47" i="6"/>
  <c r="S47" i="6"/>
  <c r="G271" i="4"/>
  <c r="D20" i="7"/>
  <c r="J71" i="4"/>
  <c r="J235" i="4"/>
  <c r="C275" i="4"/>
  <c r="C281" i="4" s="1"/>
  <c r="G212" i="4"/>
  <c r="F136" i="4"/>
  <c r="A136" i="4" s="1"/>
  <c r="C146" i="4" s="1"/>
  <c r="D183" i="4" s="1"/>
  <c r="E177" i="4" s="1"/>
  <c r="E176" i="4" s="1"/>
  <c r="F76" i="4"/>
  <c r="H42" i="4"/>
  <c r="L108" i="4"/>
  <c r="C194" i="4"/>
  <c r="K194" i="4" s="1"/>
  <c r="J62" i="4"/>
  <c r="R62" i="4"/>
  <c r="P62" i="4"/>
  <c r="N71" i="4"/>
  <c r="J108" i="4"/>
  <c r="C111" i="4" s="1"/>
  <c r="I194" i="4"/>
  <c r="I201" i="4" s="1"/>
  <c r="H30" i="4"/>
  <c r="S46" i="6" l="1"/>
  <c r="G169" i="4"/>
  <c r="J169" i="4" s="1"/>
  <c r="H34" i="7"/>
  <c r="O53" i="6" s="1"/>
  <c r="C196" i="4"/>
  <c r="J64" i="4"/>
  <c r="S53" i="6" l="1"/>
  <c r="P53" i="6"/>
  <c r="K201" i="4"/>
  <c r="D190" i="4"/>
  <c r="P71" i="4"/>
  <c r="J73" i="4" s="1"/>
  <c r="E92" i="4"/>
  <c r="D202" i="4"/>
  <c r="C204" i="4" s="1"/>
  <c r="D210" i="4" s="1"/>
  <c r="C214" i="4" s="1"/>
  <c r="O87" i="4" l="1"/>
  <c r="Q87" i="4" s="1"/>
  <c r="H31" i="7"/>
  <c r="O50" i="6" s="1"/>
  <c r="C227" i="4"/>
  <c r="I227" i="4" s="1"/>
  <c r="I234" i="4"/>
  <c r="C238" i="4" s="1"/>
  <c r="G244" i="4" s="1"/>
  <c r="C247" i="4" s="1"/>
  <c r="C279" i="4" s="1"/>
  <c r="I280" i="4" s="1"/>
  <c r="F291" i="4" s="1"/>
  <c r="C293" i="4" s="1"/>
  <c r="F302" i="4" s="1"/>
  <c r="I304" i="4" s="1"/>
  <c r="L40" i="2" s="1"/>
  <c r="I29" i="2" s="1"/>
  <c r="O56" i="6" s="1"/>
  <c r="S50" i="6" l="1"/>
  <c r="P50" i="6"/>
</calcChain>
</file>

<file path=xl/comments1.xml><?xml version="1.0" encoding="utf-8"?>
<comments xmlns="http://schemas.openxmlformats.org/spreadsheetml/2006/main">
  <authors>
    <author>Lutfi</author>
  </authors>
  <commentList>
    <comment ref="E18" authorId="0" shapeId="0">
      <text>
        <r>
          <rPr>
            <b/>
            <sz val="8"/>
            <color indexed="81"/>
            <rFont val="Tahoma"/>
            <family val="2"/>
          </rPr>
          <t>Lutfi:</t>
        </r>
        <r>
          <rPr>
            <sz val="8"/>
            <color indexed="81"/>
            <rFont val="Tahoma"/>
            <family val="2"/>
          </rPr>
          <t xml:space="preserve">
konstanta
40 = kolom dalam
30 = kolom tepi
20 = kolom sudut</t>
        </r>
      </text>
    </comment>
  </commentList>
</comments>
</file>

<file path=xl/comments2.xml><?xml version="1.0" encoding="utf-8"?>
<comments xmlns="http://schemas.openxmlformats.org/spreadsheetml/2006/main">
  <authors>
    <author>Lutfi</author>
  </authors>
  <commentList>
    <comment ref="H69" authorId="0" shapeId="0">
      <text>
        <r>
          <rPr>
            <b/>
            <sz val="8"/>
            <color indexed="81"/>
            <rFont val="Tahoma"/>
            <family val="2"/>
          </rPr>
          <t>Lutfi:</t>
        </r>
        <r>
          <rPr>
            <sz val="8"/>
            <color indexed="81"/>
            <rFont val="Tahoma"/>
            <family val="2"/>
          </rPr>
          <t xml:space="preserve">
konstanta
40 = kolom dalam
30 = kolom tepi
20 = kolom sudut</t>
        </r>
      </text>
    </comment>
  </commentList>
</comments>
</file>

<file path=xl/comments3.xml><?xml version="1.0" encoding="utf-8"?>
<comments xmlns="http://schemas.openxmlformats.org/spreadsheetml/2006/main">
  <authors>
    <author>Lutfi</author>
  </authors>
  <commentList>
    <comment ref="K82" authorId="0" shapeId="0">
      <text>
        <r>
          <rPr>
            <b/>
            <sz val="8"/>
            <color indexed="81"/>
            <rFont val="Tahoma"/>
            <family val="2"/>
          </rPr>
          <t>Lutfi:</t>
        </r>
        <r>
          <rPr>
            <sz val="8"/>
            <color indexed="81"/>
            <rFont val="Tahoma"/>
            <family val="2"/>
          </rPr>
          <t xml:space="preserve">
Faktor reduksi (SKSNI)</t>
        </r>
      </text>
    </comment>
    <comment ref="A114" authorId="0" shapeId="0">
      <text>
        <r>
          <rPr>
            <b/>
            <sz val="8"/>
            <color indexed="81"/>
            <rFont val="Tahoma"/>
            <family val="2"/>
          </rPr>
          <t>Lutfi:</t>
        </r>
        <r>
          <rPr>
            <sz val="8"/>
            <color indexed="81"/>
            <rFont val="Tahoma"/>
            <family val="2"/>
          </rPr>
          <t xml:space="preserve">
rasio dari sisi panjang terhadap sisi pendek pada kolom, daerah beban terpusat/daerah reaksi</t>
        </r>
      </text>
    </comment>
    <comment ref="M137" authorId="0" shapeId="0">
      <text>
        <r>
          <rPr>
            <b/>
            <sz val="8"/>
            <color indexed="81"/>
            <rFont val="Tahoma"/>
            <family val="2"/>
          </rPr>
          <t>Lutfi:</t>
        </r>
        <r>
          <rPr>
            <sz val="8"/>
            <color indexed="81"/>
            <rFont val="Tahoma"/>
            <family val="2"/>
          </rPr>
          <t xml:space="preserve">
konstanta
40 = kolom dalam
30 = kolom tepi
20 = kolom sudut</t>
        </r>
      </text>
    </comment>
    <comment ref="M141" authorId="0" shapeId="0">
      <text>
        <r>
          <rPr>
            <b/>
            <sz val="8"/>
            <color indexed="81"/>
            <rFont val="Tahoma"/>
            <family val="2"/>
          </rPr>
          <t>Lutfi:</t>
        </r>
        <r>
          <rPr>
            <sz val="8"/>
            <color indexed="81"/>
            <rFont val="Tahoma"/>
            <family val="2"/>
          </rPr>
          <t xml:space="preserve">
konstanta
40 = kolom dalam
30 = kolom tepi
20 = kolom sudut</t>
        </r>
      </text>
    </comment>
  </commentList>
</comments>
</file>

<file path=xl/comments4.xml><?xml version="1.0" encoding="utf-8"?>
<comments xmlns="http://schemas.openxmlformats.org/spreadsheetml/2006/main">
  <authors>
    <author>Lutfi</author>
  </authors>
  <commentList>
    <comment ref="K11" authorId="0" shapeId="0">
      <text>
        <r>
          <rPr>
            <b/>
            <sz val="8"/>
            <color indexed="81"/>
            <rFont val="Tahoma"/>
            <family val="2"/>
          </rPr>
          <t>Lutfi:</t>
        </r>
        <r>
          <rPr>
            <sz val="8"/>
            <color indexed="81"/>
            <rFont val="Tahoma"/>
            <family val="2"/>
          </rPr>
          <t xml:space="preserve">
Faktor Penulangan
(lihat oeraturan dibawah)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</rPr>
          <t>Lutfi:</t>
        </r>
        <r>
          <rPr>
            <sz val="8"/>
            <color indexed="81"/>
            <rFont val="Tahoma"/>
            <family val="2"/>
          </rPr>
          <t xml:space="preserve">
Faktor Pelapis
(lihat oeraturan dibawah)</t>
        </r>
      </text>
    </comment>
    <comment ref="N11" authorId="0" shapeId="0">
      <text>
        <r>
          <rPr>
            <b/>
            <sz val="8"/>
            <color indexed="81"/>
            <rFont val="Tahoma"/>
            <family val="2"/>
          </rPr>
          <t>Lutfi:</t>
        </r>
        <r>
          <rPr>
            <sz val="8"/>
            <color indexed="81"/>
            <rFont val="Tahoma"/>
            <family val="2"/>
          </rPr>
          <t xml:space="preserve">
Faktor Ukuran batang tulangan
(lihat oeraturan dibawah)</t>
        </r>
      </text>
    </comment>
    <comment ref="P11" authorId="0" shapeId="0">
      <text>
        <r>
          <rPr>
            <b/>
            <sz val="8"/>
            <color indexed="81"/>
            <rFont val="Tahoma"/>
            <family val="2"/>
          </rPr>
          <t>Lutfi:</t>
        </r>
        <r>
          <rPr>
            <sz val="8"/>
            <color indexed="81"/>
            <rFont val="Tahoma"/>
            <family val="2"/>
          </rPr>
          <t xml:space="preserve">
Faktor beton agregat ringan
(lihat oeraturan dibawah)</t>
        </r>
      </text>
    </comment>
    <comment ref="L26" authorId="0" shapeId="0">
      <text>
        <r>
          <rPr>
            <b/>
            <sz val="8"/>
            <color indexed="81"/>
            <rFont val="Tahoma"/>
            <family val="2"/>
          </rPr>
          <t>Lutfi:</t>
        </r>
        <r>
          <rPr>
            <sz val="8"/>
            <color indexed="81"/>
            <rFont val="Tahoma"/>
            <family val="2"/>
          </rPr>
          <t xml:space="preserve">
(c+Ktr)/db
tidak boleh lebih dari 2,5
lihat rujukan peraturan dibawah</t>
        </r>
      </text>
    </comment>
  </commentList>
</comments>
</file>

<file path=xl/sharedStrings.xml><?xml version="1.0" encoding="utf-8"?>
<sst xmlns="http://schemas.openxmlformats.org/spreadsheetml/2006/main" count="1299" uniqueCount="278">
  <si>
    <t>q</t>
  </si>
  <si>
    <t>Dimensi Kolom</t>
  </si>
  <si>
    <t>=</t>
  </si>
  <si>
    <t>b</t>
  </si>
  <si>
    <t>B</t>
  </si>
  <si>
    <t>L</t>
  </si>
  <si>
    <t>h</t>
  </si>
  <si>
    <t>Dimensi Pondasi</t>
  </si>
  <si>
    <t xml:space="preserve">Mutu Beton </t>
  </si>
  <si>
    <t>fc'</t>
  </si>
  <si>
    <t>Mutu Baja</t>
  </si>
  <si>
    <t>fy'</t>
  </si>
  <si>
    <t>ht</t>
  </si>
  <si>
    <t>Daya dukung tanah</t>
  </si>
  <si>
    <r>
      <rPr>
        <sz val="11"/>
        <color theme="1"/>
        <rFont val="Calibri"/>
        <family val="2"/>
      </rPr>
      <t>σ</t>
    </r>
    <r>
      <rPr>
        <sz val="11"/>
        <color theme="1"/>
        <rFont val="Calibri"/>
        <family val="2"/>
        <charset val="1"/>
      </rPr>
      <t>t</t>
    </r>
  </si>
  <si>
    <t>Besi tulangan</t>
  </si>
  <si>
    <t>(dipakai)</t>
  </si>
  <si>
    <t>D</t>
  </si>
  <si>
    <t>Data Struktur :</t>
  </si>
  <si>
    <t>Data Tanah :</t>
  </si>
  <si>
    <t>Data Beban :</t>
  </si>
  <si>
    <t>Beban P ultimate</t>
  </si>
  <si>
    <t>Pult</t>
  </si>
  <si>
    <t>Beban M ultimate</t>
  </si>
  <si>
    <t>Mult</t>
  </si>
  <si>
    <t>m</t>
  </si>
  <si>
    <t xml:space="preserve">Tebal tanah diatas </t>
  </si>
  <si>
    <t>pondasi</t>
  </si>
  <si>
    <t>mm</t>
  </si>
  <si>
    <t>Mpa</t>
  </si>
  <si>
    <t>Kpa</t>
  </si>
  <si>
    <t>Berat tanah</t>
  </si>
  <si>
    <t>γt</t>
  </si>
  <si>
    <t>KN/m3</t>
  </si>
  <si>
    <t>KN</t>
  </si>
  <si>
    <t>KNm</t>
  </si>
  <si>
    <t xml:space="preserve">q </t>
  </si>
  <si>
    <t>+</t>
  </si>
  <si>
    <t>Berat Tanah</t>
  </si>
  <si>
    <t xml:space="preserve">ht </t>
  </si>
  <si>
    <t>x</t>
  </si>
  <si>
    <t>γc</t>
  </si>
  <si>
    <t>Berat Fondasi</t>
  </si>
  <si>
    <t xml:space="preserve">BJ Beton </t>
  </si>
  <si>
    <t>ha</t>
  </si>
  <si>
    <t xml:space="preserve">ha </t>
  </si>
  <si>
    <t>KN/m2</t>
  </si>
  <si>
    <t>Cek Fondasi Terhadap Tegangan Izin Tanah</t>
  </si>
  <si>
    <t>Tegangan yang terjadi pada tanah</t>
  </si>
  <si>
    <r>
      <rPr>
        <sz val="11"/>
        <color theme="1"/>
        <rFont val="Calibri"/>
        <family val="2"/>
      </rPr>
      <t>σ</t>
    </r>
    <r>
      <rPr>
        <sz val="11"/>
        <color theme="1"/>
        <rFont val="Calibri"/>
        <family val="2"/>
        <charset val="1"/>
      </rPr>
      <t>maks</t>
    </r>
  </si>
  <si>
    <t>1/6</t>
  </si>
  <si>
    <r>
      <t>L</t>
    </r>
    <r>
      <rPr>
        <vertAlign val="superscript"/>
        <sz val="11"/>
        <color theme="1"/>
        <rFont val="Calibri"/>
        <family val="2"/>
        <scheme val="minor"/>
      </rPr>
      <t>2</t>
    </r>
  </si>
  <si>
    <t>≤</t>
  </si>
  <si>
    <r>
      <t>σ</t>
    </r>
    <r>
      <rPr>
        <sz val="11"/>
        <color theme="1"/>
        <rFont val="Calibri"/>
        <family val="2"/>
        <charset val="1"/>
      </rPr>
      <t>min</t>
    </r>
  </si>
  <si>
    <t>-</t>
  </si>
  <si>
    <t>Kontrol Tegangan Geser 1 Arah</t>
  </si>
  <si>
    <t>ds</t>
  </si>
  <si>
    <t>D/2</t>
  </si>
  <si>
    <t>a</t>
  </si>
  <si>
    <t>B/2</t>
  </si>
  <si>
    <t>b/2</t>
  </si>
  <si>
    <t>d</t>
  </si>
  <si>
    <t>σa</t>
  </si>
  <si>
    <t>σmin</t>
  </si>
  <si>
    <t>σmaks</t>
  </si>
  <si>
    <t>Gaya tekan ke atas dari tanah (Vu)</t>
  </si>
  <si>
    <t xml:space="preserve">Vu </t>
  </si>
  <si>
    <r>
      <t>Gaya geser yang dapat ditahan oleh beton (</t>
    </r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charset val="1"/>
      </rPr>
      <t>.Vc)</t>
    </r>
  </si>
  <si>
    <t>Ø.Vc</t>
  </si>
  <si>
    <t>Ø</t>
  </si>
  <si>
    <t>&gt;</t>
  </si>
  <si>
    <t>.........</t>
  </si>
  <si>
    <t>Kontrol Tegangan Geser 2 Arah (Geser Pons)</t>
  </si>
  <si>
    <t>Dimensi Kolom,</t>
  </si>
  <si>
    <t>Gaya Tekan Ke Atas (Geser Pons)</t>
  </si>
  <si>
    <t>Vu</t>
  </si>
  <si>
    <r>
      <rPr>
        <sz val="11"/>
        <color theme="1"/>
        <rFont val="Calibri"/>
        <family val="2"/>
      </rPr>
      <t>β</t>
    </r>
    <r>
      <rPr>
        <sz val="11"/>
        <color theme="1"/>
        <rFont val="Calibri"/>
        <family val="2"/>
        <charset val="1"/>
      </rPr>
      <t>c</t>
    </r>
  </si>
  <si>
    <t>hk</t>
  </si>
  <si>
    <t>Bk</t>
  </si>
  <si>
    <t>bo</t>
  </si>
  <si>
    <t>bk</t>
  </si>
  <si>
    <t>Gaya geser yang ditahan oleh beton</t>
  </si>
  <si>
    <t>Vc</t>
  </si>
  <si>
    <t>N</t>
  </si>
  <si>
    <t>Vc1</t>
  </si>
  <si>
    <t>Vc2</t>
  </si>
  <si>
    <t>αs</t>
  </si>
  <si>
    <t>Type Kolom</t>
  </si>
  <si>
    <t>Vc3</t>
  </si>
  <si>
    <t>Jadi</t>
  </si>
  <si>
    <t>Diambil yang terkecil</t>
  </si>
  <si>
    <t>Hitungan Penulangan Fondasi</t>
  </si>
  <si>
    <t>≈</t>
  </si>
  <si>
    <t>σx</t>
  </si>
  <si>
    <t>`</t>
  </si>
  <si>
    <t>Mu</t>
  </si>
  <si>
    <t>K</t>
  </si>
  <si>
    <t>Kmaks</t>
  </si>
  <si>
    <t>fy</t>
  </si>
  <si>
    <t>β1</t>
  </si>
  <si>
    <t>&lt;</t>
  </si>
  <si>
    <t>mm2</t>
  </si>
  <si>
    <t xml:space="preserve">x </t>
  </si>
  <si>
    <t>As(1)</t>
  </si>
  <si>
    <t>As(2)</t>
  </si>
  <si>
    <t>Dipilih yang terbesar dari As(1) dan As(2)......... Sehingga,</t>
  </si>
  <si>
    <t>As</t>
  </si>
  <si>
    <t>Jarak tulangan,</t>
  </si>
  <si>
    <t>s</t>
  </si>
  <si>
    <t>phi</t>
  </si>
  <si>
    <t>S</t>
  </si>
  <si>
    <t>Dipilih (s) yang terkecil</t>
  </si>
  <si>
    <t>Jadi dipakai tulangan</t>
  </si>
  <si>
    <t>Job Title</t>
  </si>
  <si>
    <t>Client.</t>
  </si>
  <si>
    <t>Job No.</t>
  </si>
  <si>
    <t>Part</t>
  </si>
  <si>
    <t>Ref</t>
  </si>
  <si>
    <t>Date</t>
  </si>
  <si>
    <t>File</t>
  </si>
  <si>
    <t>Enginner</t>
  </si>
  <si>
    <t>Date/time</t>
  </si>
  <si>
    <t>Analisa</t>
  </si>
  <si>
    <t>Sheet No</t>
  </si>
  <si>
    <t>POTONGAN 1-1</t>
  </si>
  <si>
    <t>Non Scale</t>
  </si>
  <si>
    <t>DETAIL PONDASI</t>
  </si>
  <si>
    <t>SNI 03-2847-2002 (Pasal 17.4.3)</t>
  </si>
  <si>
    <t>SNI 03-2847-2002 (Pasal 17.7)</t>
  </si>
  <si>
    <t>SNI 03-2847-2002 (Pasal 9.7.1)</t>
  </si>
  <si>
    <t>c</t>
  </si>
  <si>
    <t>Cek Panjang Penyaluran Tegangan Tulangan</t>
  </si>
  <si>
    <r>
      <t>Panjang penyaluran tegangan (</t>
    </r>
    <r>
      <rPr>
        <sz val="11"/>
        <color theme="1"/>
        <rFont val="Calibri"/>
        <family val="2"/>
      </rPr>
      <t>λ</t>
    </r>
    <r>
      <rPr>
        <sz val="9.35"/>
        <color theme="1"/>
        <rFont val="Calibri"/>
        <family val="2"/>
        <charset val="1"/>
      </rPr>
      <t>d)</t>
    </r>
  </si>
  <si>
    <t>β</t>
  </si>
  <si>
    <t>γ</t>
  </si>
  <si>
    <t>λ</t>
  </si>
  <si>
    <t>Ktr</t>
  </si>
  <si>
    <t>db</t>
  </si>
  <si>
    <t>α</t>
  </si>
  <si>
    <t>Panjang Tersedia  (λt)</t>
  </si>
  <si>
    <r>
      <t>Panjang Tersedia (</t>
    </r>
    <r>
      <rPr>
        <sz val="11"/>
        <color theme="1"/>
        <rFont val="Calibri"/>
        <family val="2"/>
      </rPr>
      <t>λ</t>
    </r>
    <r>
      <rPr>
        <sz val="9.35"/>
        <color theme="1"/>
        <rFont val="Calibri"/>
        <family val="2"/>
        <charset val="1"/>
      </rPr>
      <t xml:space="preserve">t) </t>
    </r>
  </si>
  <si>
    <t>.......</t>
  </si>
  <si>
    <t>Kuat Dukung Fondasi</t>
  </si>
  <si>
    <t>Pu</t>
  </si>
  <si>
    <t>A</t>
  </si>
  <si>
    <t>Pu,k</t>
  </si>
  <si>
    <t xml:space="preserve">SKSNI 03-2847-2002 </t>
  </si>
  <si>
    <t>Pondasi Tapak Beton Type Bujursangkar</t>
  </si>
  <si>
    <t xml:space="preserve">  b</t>
  </si>
  <si>
    <t>Muka Tanah</t>
  </si>
  <si>
    <t>B = L</t>
  </si>
  <si>
    <t>Name</t>
  </si>
  <si>
    <t>Engineer</t>
  </si>
  <si>
    <t>Checked</t>
  </si>
  <si>
    <t>Approved</t>
  </si>
  <si>
    <t>Lutfi</t>
  </si>
  <si>
    <t>....... SNI 03-2847-2002 (Pasal 12.5.1)</t>
  </si>
  <si>
    <t>Jika</t>
  </si>
  <si>
    <t>maka</t>
  </si>
  <si>
    <t>≥</t>
  </si>
  <si>
    <t xml:space="preserve">fc' </t>
  </si>
  <si>
    <t>...........</t>
  </si>
  <si>
    <t>(R.1)</t>
  </si>
  <si>
    <t>(R.2)</t>
  </si>
  <si>
    <t>maka yang dipakai adalah pers .....................</t>
  </si>
  <si>
    <t>As(2')</t>
  </si>
  <si>
    <t>Status :</t>
  </si>
  <si>
    <t>σt</t>
  </si>
  <si>
    <t>Kontrol gaya geser 1 arah</t>
  </si>
  <si>
    <t>Result</t>
  </si>
  <si>
    <t>Kontrol gaya geser 2 arah</t>
  </si>
  <si>
    <t xml:space="preserve">Penulangan Pondasi </t>
  </si>
  <si>
    <t>Arah X = Y</t>
  </si>
  <si>
    <t>Cek Status Pondasi :</t>
  </si>
  <si>
    <t>www.kampustekniksipil.co.cc</t>
  </si>
  <si>
    <t>WEB :</t>
  </si>
  <si>
    <t>E-mail :</t>
  </si>
  <si>
    <t>Author :</t>
  </si>
  <si>
    <t>Lutfi Andrian, WS</t>
  </si>
  <si>
    <t>CR</t>
  </si>
  <si>
    <t>SKEMA HITUNGAN PONDASI</t>
  </si>
  <si>
    <t xml:space="preserve">Data : </t>
  </si>
  <si>
    <t>Mutu Bahan (Fc, Fy)</t>
  </si>
  <si>
    <t>Beban (Pu, Mu)</t>
  </si>
  <si>
    <r>
      <t>Daya dukung tanah (</t>
    </r>
    <r>
      <rPr>
        <sz val="11"/>
        <color theme="1"/>
        <rFont val="Calibri"/>
        <family val="2"/>
      </rPr>
      <t>σ</t>
    </r>
    <r>
      <rPr>
        <sz val="11"/>
        <color theme="1"/>
        <rFont val="Calibri"/>
        <family val="2"/>
        <charset val="1"/>
      </rPr>
      <t>t)</t>
    </r>
  </si>
  <si>
    <t>Penentuan Dimensi Pondasi</t>
  </si>
  <si>
    <r>
      <t>σ</t>
    </r>
    <r>
      <rPr>
        <sz val="11"/>
        <color theme="1"/>
        <rFont val="Calibri"/>
        <family val="2"/>
        <charset val="1"/>
      </rPr>
      <t>t</t>
    </r>
  </si>
  <si>
    <t>Mu,x</t>
  </si>
  <si>
    <t>Mu,y</t>
  </si>
  <si>
    <t>σ</t>
  </si>
  <si>
    <t>Menghitung tegangan tanah didasar fondasi</t>
  </si>
  <si>
    <t>Dimana</t>
  </si>
  <si>
    <t>Syarat :</t>
  </si>
  <si>
    <t xml:space="preserve">dengan </t>
  </si>
  <si>
    <t>Dipilih nilai Vc terkecil dari :</t>
  </si>
  <si>
    <t>Hitung Penulangan Fondasi</t>
  </si>
  <si>
    <t>1)</t>
  </si>
  <si>
    <t>dimana</t>
  </si>
  <si>
    <t>2)</t>
  </si>
  <si>
    <t>3)</t>
  </si>
  <si>
    <t>4)</t>
  </si>
  <si>
    <t>,</t>
  </si>
  <si>
    <t>5)</t>
  </si>
  <si>
    <t>6)</t>
  </si>
  <si>
    <t>7)</t>
  </si>
  <si>
    <t>8)</t>
  </si>
  <si>
    <t xml:space="preserve">As terpilih </t>
  </si>
  <si>
    <t xml:space="preserve">9) </t>
  </si>
  <si>
    <t>Jarak tulangan</t>
  </si>
  <si>
    <t>terbesar</t>
  </si>
  <si>
    <t>terkecil</t>
  </si>
  <si>
    <t xml:space="preserve">Pilih "As" yang </t>
  </si>
  <si>
    <t xml:space="preserve">Pilih "s" yang </t>
  </si>
  <si>
    <t>.....</t>
  </si>
  <si>
    <t>Cek Kuat Dukung Fondasi</t>
  </si>
  <si>
    <r>
      <t xml:space="preserve">( </t>
    </r>
    <r>
      <rPr>
        <sz val="11"/>
        <color theme="1"/>
        <rFont val="Calibri"/>
        <family val="2"/>
      </rPr>
      <t>Ø = 0,7 )</t>
    </r>
  </si>
  <si>
    <t>As(3)</t>
  </si>
  <si>
    <t>Referensi : Asroni, A., Buku Kolom Fondasi &amp; Balok T Beton Bertulang,</t>
  </si>
  <si>
    <t>Notasi :</t>
  </si>
  <si>
    <t>(Kpa) atau KN/m2</t>
  </si>
  <si>
    <t xml:space="preserve">Daya dukung tanah </t>
  </si>
  <si>
    <t>Beban axial terfaktor pada kolom...........</t>
  </si>
  <si>
    <t>B,L</t>
  </si>
  <si>
    <t>Panjang dan lebar fondasi</t>
  </si>
  <si>
    <t>Tegangan yang terjadi pada dasar fondasi</t>
  </si>
  <si>
    <t>Momen terfaktor kolom searah sumbu X ...........</t>
  </si>
  <si>
    <t>Momen terfaktor kolom searah sumbu Y ...........</t>
  </si>
  <si>
    <t>Beban terbagi rata akibat beban sendiri fondasi</t>
  </si>
  <si>
    <t>ditambah beban tanah diatas fondasi ...........</t>
  </si>
  <si>
    <t>(KN/m2)</t>
  </si>
  <si>
    <t>tebal fondasi (ht, d, ds), mutu bahan</t>
  </si>
  <si>
    <t xml:space="preserve">Tebal fondasi </t>
  </si>
  <si>
    <t>150 mm</t>
  </si>
  <si>
    <t>Berat per volume beton ...........</t>
  </si>
  <si>
    <t>Tebal tanah diatas fondasi ...........</t>
  </si>
  <si>
    <t>Berat per volume tanah ...........</t>
  </si>
  <si>
    <t>Gaya geser pons terfaktor...........</t>
  </si>
  <si>
    <t>Gaya geser yang sanggup ditahan oleh beton...........</t>
  </si>
  <si>
    <t>Rasio dari sisi panjang terhadap sisi pendek pada</t>
  </si>
  <si>
    <t xml:space="preserve">kolom, daerah beban terpusat / atau daerah reaksi </t>
  </si>
  <si>
    <t>Keliling penampang krisis dari fondasi ...........</t>
  </si>
  <si>
    <t xml:space="preserve">Suatu konstanta yang digunakan untuk menghitung </t>
  </si>
  <si>
    <t>Vc , yang nilai tergantung pada letak fondasi,</t>
  </si>
  <si>
    <t>Kolom dalam</t>
  </si>
  <si>
    <t>Kolom tepi</t>
  </si>
  <si>
    <t>Kolom sudut</t>
  </si>
  <si>
    <t>Tegangan tanah maksimum</t>
  </si>
  <si>
    <t>Tegangan tanah minimum</t>
  </si>
  <si>
    <t>Tegangan tanah sejarak "a" dari tepi fondasi ..........</t>
  </si>
  <si>
    <t>Tegangan tanah sejarak "x" dari tepi fondasi ..........</t>
  </si>
  <si>
    <t>Jarak dari area bidang yang menerima tekanan</t>
  </si>
  <si>
    <t>keatas dari tanah (area keruntuhan)</t>
  </si>
  <si>
    <t>Kuat tekan beton ...........</t>
  </si>
  <si>
    <t>Mutu beton ...........</t>
  </si>
  <si>
    <t xml:space="preserve">decking </t>
  </si>
  <si>
    <t>Diameter tulangan ...........</t>
  </si>
  <si>
    <t>a'</t>
  </si>
  <si>
    <t>Tinggi blok tegangan beton teka persegi ekivalen</t>
  </si>
  <si>
    <t>Momen yang terjadi padafondasi</t>
  </si>
  <si>
    <t>K, Kmaks</t>
  </si>
  <si>
    <t>Faktor momen pikul</t>
  </si>
  <si>
    <t>Jarak tulangan ...........</t>
  </si>
  <si>
    <t>Luas besi tulangan yang dibutuhkan ...........</t>
  </si>
  <si>
    <t>βc</t>
  </si>
  <si>
    <t>(lihat pasal 17.7 SNI 03-2847-2002)</t>
  </si>
  <si>
    <r>
      <t xml:space="preserve">minimal = </t>
    </r>
    <r>
      <rPr>
        <u/>
        <sz val="11"/>
        <color theme="9" tint="-0.249977111117893"/>
        <rFont val="Calibri"/>
        <family val="2"/>
        <scheme val="minor"/>
      </rPr>
      <t>75 mm</t>
    </r>
    <r>
      <rPr>
        <sz val="11"/>
        <color theme="1"/>
        <rFont val="Calibri"/>
        <family val="2"/>
        <charset val="1"/>
        <scheme val="minor"/>
      </rPr>
      <t xml:space="preserve"> (berhubungan dengan tanah)</t>
    </r>
  </si>
  <si>
    <r>
      <t xml:space="preserve">Faktor keamanan = </t>
    </r>
    <r>
      <rPr>
        <b/>
        <u/>
        <sz val="11"/>
        <color theme="9" tint="-0.249977111117893"/>
        <rFont val="Calibri"/>
        <family val="2"/>
        <scheme val="minor"/>
      </rPr>
      <t xml:space="preserve">0,7 </t>
    </r>
    <r>
      <rPr>
        <sz val="11"/>
        <color theme="1"/>
        <rFont val="Calibri"/>
        <family val="2"/>
        <charset val="1"/>
        <scheme val="minor"/>
      </rPr>
      <t>(lihat SNI)</t>
    </r>
  </si>
  <si>
    <t>Ruko Permata Juanda Surabaya</t>
  </si>
  <si>
    <t>Project :</t>
  </si>
  <si>
    <t>Client :</t>
  </si>
  <si>
    <t>Mr Bunawan</t>
  </si>
  <si>
    <t>Ari</t>
  </si>
  <si>
    <t>lutfi.andrian@rocketmail.com</t>
  </si>
  <si>
    <t>t/m2</t>
  </si>
  <si>
    <t>t/cm2</t>
  </si>
  <si>
    <t>kg/m2</t>
  </si>
  <si>
    <t>kg/cm2</t>
  </si>
  <si>
    <t>Unit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</si>
</sst>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38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1"/>
    </font>
    <font>
      <sz val="1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11"/>
      <color rgb="FF002060"/>
      <name val="Calibri"/>
      <family val="2"/>
      <charset val="1"/>
      <scheme val="minor"/>
    </font>
    <font>
      <sz val="11"/>
      <color rgb="FF0070C0"/>
      <name val="Calibri"/>
      <family val="2"/>
      <charset val="1"/>
    </font>
    <font>
      <vertAlign val="superscript"/>
      <sz val="11"/>
      <color theme="1"/>
      <name val="Calibri"/>
      <family val="2"/>
      <charset val="1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rgb="FFFF0000"/>
      <name val="Calibri"/>
      <family val="2"/>
      <charset val="1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sz val="9.35"/>
      <color theme="1"/>
      <name val="Calibri"/>
      <family val="2"/>
      <charset val="1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i/>
      <sz val="11"/>
      <color theme="1"/>
      <name val="Calibri"/>
      <family val="2"/>
      <scheme val="minor"/>
    </font>
    <font>
      <i/>
      <u/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2060"/>
      <name val="Calibri"/>
      <family val="2"/>
      <charset val="1"/>
      <scheme val="minor"/>
    </font>
    <font>
      <b/>
      <sz val="11"/>
      <name val="Calibri"/>
      <family val="2"/>
      <scheme val="minor"/>
    </font>
    <font>
      <u/>
      <sz val="9.35"/>
      <color theme="1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1"/>
      <scheme val="minor"/>
    </font>
    <font>
      <b/>
      <i/>
      <sz val="11"/>
      <color rgb="FF0070C0"/>
      <name val="Calibri"/>
      <family val="2"/>
      <scheme val="minor"/>
    </font>
    <font>
      <b/>
      <u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charset val="1"/>
      <scheme val="minor"/>
    </font>
    <font>
      <u/>
      <sz val="11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0" fillId="0" borderId="0" xfId="0" applyAlignment="1"/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0" fontId="13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8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0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1" fontId="14" fillId="3" borderId="0" xfId="0" applyNumberFormat="1" applyFont="1" applyFill="1" applyAlignment="1">
      <alignment horizontal="center"/>
    </xf>
    <xf numFmtId="0" fontId="20" fillId="0" borderId="0" xfId="0" applyFont="1"/>
    <xf numFmtId="0" fontId="13" fillId="3" borderId="0" xfId="0" applyFont="1" applyFill="1" applyAlignment="1">
      <alignment horizontal="center"/>
    </xf>
    <xf numFmtId="0" fontId="22" fillId="0" borderId="0" xfId="0" applyFont="1"/>
    <xf numFmtId="0" fontId="13" fillId="0" borderId="0" xfId="0" applyFont="1" applyAlignment="1">
      <alignment horizontal="left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5" borderId="0" xfId="0" applyFill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24" fillId="0" borderId="0" xfId="0" applyFont="1" applyAlignment="1">
      <alignment horizontal="left"/>
    </xf>
    <xf numFmtId="22" fontId="0" fillId="0" borderId="0" xfId="0" applyNumberFormat="1" applyAlignment="1"/>
    <xf numFmtId="18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0" fontId="30" fillId="8" borderId="0" xfId="1" applyFont="1" applyFill="1" applyBorder="1" applyAlignment="1" applyProtection="1"/>
    <xf numFmtId="0" fontId="0" fillId="8" borderId="0" xfId="0" applyFill="1"/>
    <xf numFmtId="2" fontId="4" fillId="8" borderId="9" xfId="0" applyNumberFormat="1" applyFont="1" applyFill="1" applyBorder="1" applyAlignment="1" applyProtection="1">
      <alignment horizontal="center"/>
    </xf>
    <xf numFmtId="0" fontId="0" fillId="8" borderId="0" xfId="0" applyFill="1" applyProtection="1">
      <protection locked="0"/>
    </xf>
    <xf numFmtId="0" fontId="4" fillId="8" borderId="9" xfId="0" applyFont="1" applyFill="1" applyBorder="1" applyAlignment="1" applyProtection="1">
      <alignment horizontal="center"/>
      <protection locked="0"/>
    </xf>
    <xf numFmtId="2" fontId="4" fillId="8" borderId="9" xfId="0" applyNumberFormat="1" applyFont="1" applyFill="1" applyBorder="1" applyAlignment="1" applyProtection="1">
      <alignment horizontal="center"/>
      <protection locked="0"/>
    </xf>
    <xf numFmtId="0" fontId="28" fillId="0" borderId="9" xfId="0" applyFont="1" applyFill="1" applyBorder="1" applyAlignment="1" applyProtection="1">
      <alignment horizontal="center"/>
    </xf>
    <xf numFmtId="164" fontId="28" fillId="0" borderId="9" xfId="0" applyNumberFormat="1" applyFont="1" applyFill="1" applyBorder="1" applyAlignment="1" applyProtection="1">
      <alignment horizontal="center"/>
    </xf>
    <xf numFmtId="0" fontId="13" fillId="0" borderId="9" xfId="0" applyFont="1" applyFill="1" applyBorder="1" applyAlignment="1" applyProtection="1">
      <alignment horizontal="center"/>
    </xf>
    <xf numFmtId="0" fontId="0" fillId="8" borderId="21" xfId="0" applyFill="1" applyBorder="1" applyProtection="1"/>
    <xf numFmtId="0" fontId="0" fillId="8" borderId="22" xfId="0" applyFill="1" applyBorder="1" applyProtection="1"/>
    <xf numFmtId="0" fontId="0" fillId="8" borderId="23" xfId="0" applyFill="1" applyBorder="1" applyProtection="1"/>
    <xf numFmtId="0" fontId="0" fillId="8" borderId="24" xfId="0" applyFill="1" applyBorder="1" applyProtection="1"/>
    <xf numFmtId="0" fontId="0" fillId="8" borderId="0" xfId="0" applyFill="1" applyBorder="1" applyProtection="1"/>
    <xf numFmtId="0" fontId="0" fillId="8" borderId="25" xfId="0" applyFill="1" applyBorder="1" applyProtection="1"/>
    <xf numFmtId="0" fontId="0" fillId="8" borderId="0" xfId="0" applyFill="1" applyBorder="1" applyAlignment="1" applyProtection="1">
      <alignment horizontal="left"/>
    </xf>
    <xf numFmtId="0" fontId="0" fillId="8" borderId="26" xfId="0" applyFill="1" applyBorder="1" applyProtection="1"/>
    <xf numFmtId="0" fontId="0" fillId="8" borderId="27" xfId="0" applyFill="1" applyBorder="1" applyProtection="1"/>
    <xf numFmtId="0" fontId="0" fillId="8" borderId="28" xfId="0" applyFill="1" applyBorder="1" applyProtection="1"/>
    <xf numFmtId="0" fontId="0" fillId="7" borderId="21" xfId="0" applyFill="1" applyBorder="1" applyProtection="1"/>
    <xf numFmtId="0" fontId="0" fillId="7" borderId="22" xfId="0" applyFill="1" applyBorder="1" applyProtection="1"/>
    <xf numFmtId="0" fontId="0" fillId="6" borderId="22" xfId="0" applyFill="1" applyBorder="1" applyProtection="1"/>
    <xf numFmtId="0" fontId="0" fillId="6" borderId="23" xfId="0" applyFill="1" applyBorder="1" applyProtection="1"/>
    <xf numFmtId="0" fontId="0" fillId="7" borderId="24" xfId="0" applyFill="1" applyBorder="1" applyProtection="1"/>
    <xf numFmtId="0" fontId="0" fillId="7" borderId="0" xfId="0" applyFill="1" applyBorder="1" applyProtection="1"/>
    <xf numFmtId="0" fontId="0" fillId="6" borderId="0" xfId="0" applyFill="1" applyBorder="1" applyProtection="1"/>
    <xf numFmtId="0" fontId="22" fillId="6" borderId="0" xfId="0" applyFont="1" applyFill="1" applyBorder="1" applyProtection="1"/>
    <xf numFmtId="0" fontId="0" fillId="6" borderId="25" xfId="0" applyFill="1" applyBorder="1" applyProtection="1"/>
    <xf numFmtId="0" fontId="13" fillId="6" borderId="0" xfId="0" applyFont="1" applyFill="1" applyBorder="1" applyAlignment="1" applyProtection="1"/>
    <xf numFmtId="0" fontId="0" fillId="6" borderId="0" xfId="0" applyFill="1" applyBorder="1" applyAlignment="1" applyProtection="1"/>
    <xf numFmtId="0" fontId="0" fillId="7" borderId="0" xfId="0" applyFill="1" applyBorder="1" applyAlignment="1" applyProtection="1">
      <alignment horizontal="left"/>
    </xf>
    <xf numFmtId="0" fontId="26" fillId="6" borderId="0" xfId="0" applyFont="1" applyFill="1" applyBorder="1" applyProtection="1"/>
    <xf numFmtId="0" fontId="0" fillId="6" borderId="0" xfId="0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/>
    </xf>
    <xf numFmtId="0" fontId="0" fillId="6" borderId="0" xfId="0" applyFill="1" applyBorder="1" applyAlignment="1" applyProtection="1">
      <alignment horizontal="center"/>
    </xf>
    <xf numFmtId="0" fontId="15" fillId="6" borderId="0" xfId="0" applyFont="1" applyFill="1" applyBorder="1" applyAlignment="1" applyProtection="1">
      <alignment horizontal="center"/>
    </xf>
    <xf numFmtId="0" fontId="13" fillId="6" borderId="0" xfId="0" applyFont="1" applyFill="1" applyBorder="1" applyProtection="1"/>
    <xf numFmtId="0" fontId="26" fillId="6" borderId="0" xfId="0" applyFont="1" applyFill="1" applyBorder="1" applyAlignment="1" applyProtection="1">
      <alignment horizontal="center"/>
    </xf>
    <xf numFmtId="0" fontId="6" fillId="6" borderId="0" xfId="0" applyFont="1" applyFill="1" applyBorder="1" applyProtection="1"/>
    <xf numFmtId="1" fontId="0" fillId="6" borderId="0" xfId="0" applyNumberFormat="1" applyFill="1" applyBorder="1" applyAlignment="1" applyProtection="1">
      <alignment horizontal="center"/>
    </xf>
    <xf numFmtId="0" fontId="0" fillId="7" borderId="26" xfId="0" applyFill="1" applyBorder="1" applyProtection="1"/>
    <xf numFmtId="0" fontId="0" fillId="7" borderId="27" xfId="0" applyFill="1" applyBorder="1" applyProtection="1"/>
    <xf numFmtId="0" fontId="0" fillId="6" borderId="27" xfId="0" applyFill="1" applyBorder="1" applyProtection="1"/>
    <xf numFmtId="0" fontId="2" fillId="8" borderId="0" xfId="0" applyFont="1" applyFill="1" applyAlignment="1">
      <alignment horizontal="center"/>
    </xf>
    <xf numFmtId="0" fontId="0" fillId="9" borderId="22" xfId="0" applyFill="1" applyBorder="1"/>
    <xf numFmtId="0" fontId="0" fillId="9" borderId="22" xfId="0" applyFill="1" applyBorder="1" applyAlignment="1">
      <alignment horizontal="center"/>
    </xf>
    <xf numFmtId="0" fontId="0" fillId="9" borderId="23" xfId="0" applyFill="1" applyBorder="1"/>
    <xf numFmtId="0" fontId="0" fillId="9" borderId="24" xfId="0" applyFill="1" applyBorder="1"/>
    <xf numFmtId="0" fontId="0" fillId="9" borderId="0" xfId="0" applyFill="1" applyBorder="1"/>
    <xf numFmtId="0" fontId="0" fillId="9" borderId="0" xfId="0" applyFill="1" applyBorder="1" applyAlignment="1">
      <alignment horizontal="center"/>
    </xf>
    <xf numFmtId="0" fontId="0" fillId="9" borderId="25" xfId="0" applyFill="1" applyBorder="1"/>
    <xf numFmtId="0" fontId="0" fillId="9" borderId="26" xfId="0" applyFill="1" applyBorder="1"/>
    <xf numFmtId="0" fontId="0" fillId="9" borderId="27" xfId="0" applyFill="1" applyBorder="1"/>
    <xf numFmtId="0" fontId="0" fillId="9" borderId="27" xfId="0" applyFill="1" applyBorder="1" applyAlignment="1">
      <alignment horizontal="center"/>
    </xf>
    <xf numFmtId="0" fontId="2" fillId="9" borderId="27" xfId="0" applyFont="1" applyFill="1" applyBorder="1" applyAlignment="1">
      <alignment horizontal="center"/>
    </xf>
    <xf numFmtId="0" fontId="0" fillId="9" borderId="28" xfId="0" applyFill="1" applyBorder="1"/>
    <xf numFmtId="0" fontId="0" fillId="9" borderId="0" xfId="0" applyFill="1" applyBorder="1" applyAlignment="1">
      <alignment horizontal="left"/>
    </xf>
    <xf numFmtId="0" fontId="2" fillId="9" borderId="24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0" fillId="9" borderId="24" xfId="0" applyFill="1" applyBorder="1" applyAlignment="1">
      <alignment horizontal="left"/>
    </xf>
    <xf numFmtId="49" fontId="0" fillId="9" borderId="0" xfId="0" applyNumberFormat="1" applyFill="1" applyBorder="1" applyAlignment="1">
      <alignment horizontal="center"/>
    </xf>
    <xf numFmtId="0" fontId="0" fillId="9" borderId="26" xfId="0" applyFill="1" applyBorder="1" applyAlignment="1">
      <alignment horizontal="left"/>
    </xf>
    <xf numFmtId="0" fontId="0" fillId="9" borderId="27" xfId="0" applyFill="1" applyBorder="1" applyAlignment="1">
      <alignment horizontal="left"/>
    </xf>
    <xf numFmtId="49" fontId="0" fillId="9" borderId="27" xfId="0" applyNumberFormat="1" applyFill="1" applyBorder="1" applyAlignment="1">
      <alignment horizontal="center"/>
    </xf>
    <xf numFmtId="0" fontId="0" fillId="9" borderId="21" xfId="0" applyFill="1" applyBorder="1" applyAlignment="1"/>
    <xf numFmtId="0" fontId="0" fillId="9" borderId="22" xfId="0" applyFill="1" applyBorder="1" applyAlignment="1"/>
    <xf numFmtId="0" fontId="0" fillId="9" borderId="23" xfId="0" applyFill="1" applyBorder="1" applyAlignment="1"/>
    <xf numFmtId="0" fontId="0" fillId="9" borderId="24" xfId="0" applyFill="1" applyBorder="1" applyAlignment="1"/>
    <xf numFmtId="0" fontId="0" fillId="9" borderId="0" xfId="0" applyFill="1" applyBorder="1" applyAlignment="1"/>
    <xf numFmtId="0" fontId="0" fillId="9" borderId="25" xfId="0" applyFill="1" applyBorder="1" applyAlignment="1"/>
    <xf numFmtId="0" fontId="0" fillId="9" borderId="24" xfId="0" applyFill="1" applyBorder="1" applyAlignment="1">
      <alignment horizontal="center"/>
    </xf>
    <xf numFmtId="0" fontId="2" fillId="9" borderId="0" xfId="0" applyFont="1" applyFill="1" applyBorder="1" applyAlignment="1"/>
    <xf numFmtId="0" fontId="0" fillId="9" borderId="26" xfId="0" applyFill="1" applyBorder="1" applyAlignment="1"/>
    <xf numFmtId="0" fontId="0" fillId="9" borderId="27" xfId="0" applyFill="1" applyBorder="1" applyAlignment="1"/>
    <xf numFmtId="0" fontId="0" fillId="9" borderId="28" xfId="0" applyFill="1" applyBorder="1" applyAlignment="1"/>
    <xf numFmtId="0" fontId="0" fillId="9" borderId="0" xfId="0" applyFill="1" applyBorder="1" applyAlignment="1">
      <alignment horizontal="right"/>
    </xf>
    <xf numFmtId="0" fontId="8" fillId="9" borderId="0" xfId="0" applyFont="1" applyFill="1" applyBorder="1" applyAlignment="1">
      <alignment horizontal="left"/>
    </xf>
    <xf numFmtId="16" fontId="0" fillId="9" borderId="0" xfId="0" applyNumberForma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2" fillId="9" borderId="27" xfId="0" applyFont="1" applyFill="1" applyBorder="1" applyAlignment="1"/>
    <xf numFmtId="0" fontId="0" fillId="8" borderId="0" xfId="0" applyFill="1" applyAlignment="1">
      <alignment horizontal="center"/>
    </xf>
    <xf numFmtId="0" fontId="22" fillId="9" borderId="21" xfId="0" applyFont="1" applyFill="1" applyBorder="1" applyAlignment="1"/>
    <xf numFmtId="0" fontId="22" fillId="9" borderId="24" xfId="0" applyFont="1" applyFill="1" applyBorder="1" applyAlignment="1"/>
    <xf numFmtId="0" fontId="13" fillId="9" borderId="21" xfId="0" applyFont="1" applyFill="1" applyBorder="1"/>
    <xf numFmtId="0" fontId="22" fillId="9" borderId="21" xfId="0" applyFont="1" applyFill="1" applyBorder="1"/>
    <xf numFmtId="0" fontId="2" fillId="9" borderId="0" xfId="0" applyFont="1" applyFill="1" applyBorder="1" applyAlignment="1">
      <alignment horizontal="left"/>
    </xf>
    <xf numFmtId="0" fontId="0" fillId="9" borderId="25" xfId="0" applyFill="1" applyBorder="1" applyAlignment="1">
      <alignment horizontal="center"/>
    </xf>
    <xf numFmtId="0" fontId="8" fillId="9" borderId="0" xfId="0" applyFont="1" applyFill="1" applyBorder="1"/>
    <xf numFmtId="0" fontId="22" fillId="9" borderId="0" xfId="0" applyFont="1" applyFill="1" applyBorder="1"/>
    <xf numFmtId="0" fontId="13" fillId="9" borderId="0" xfId="0" applyFont="1" applyFill="1" applyBorder="1"/>
    <xf numFmtId="0" fontId="13" fillId="9" borderId="22" xfId="0" applyFont="1" applyFill="1" applyBorder="1"/>
    <xf numFmtId="0" fontId="13" fillId="9" borderId="22" xfId="0" applyFont="1" applyFill="1" applyBorder="1" applyAlignment="1">
      <alignment horizontal="center"/>
    </xf>
    <xf numFmtId="0" fontId="13" fillId="9" borderId="23" xfId="0" applyFont="1" applyFill="1" applyBorder="1"/>
    <xf numFmtId="0" fontId="13" fillId="9" borderId="24" xfId="0" applyFont="1" applyFill="1" applyBorder="1"/>
    <xf numFmtId="0" fontId="13" fillId="9" borderId="0" xfId="0" applyFont="1" applyFill="1" applyBorder="1" applyAlignment="1">
      <alignment horizontal="center"/>
    </xf>
    <xf numFmtId="0" fontId="13" fillId="9" borderId="25" xfId="0" applyFont="1" applyFill="1" applyBorder="1"/>
    <xf numFmtId="0" fontId="13" fillId="9" borderId="27" xfId="0" applyFont="1" applyFill="1" applyBorder="1" applyAlignment="1">
      <alignment horizontal="center"/>
    </xf>
    <xf numFmtId="0" fontId="13" fillId="9" borderId="27" xfId="0" applyFont="1" applyFill="1" applyBorder="1"/>
    <xf numFmtId="0" fontId="13" fillId="9" borderId="28" xfId="0" applyFont="1" applyFill="1" applyBorder="1"/>
    <xf numFmtId="0" fontId="32" fillId="9" borderId="24" xfId="0" applyFont="1" applyFill="1" applyBorder="1"/>
    <xf numFmtId="0" fontId="32" fillId="9" borderId="0" xfId="0" applyFont="1" applyFill="1" applyBorder="1"/>
    <xf numFmtId="0" fontId="32" fillId="9" borderId="24" xfId="0" applyFont="1" applyFill="1" applyBorder="1" applyAlignment="1">
      <alignment horizontal="center"/>
    </xf>
    <xf numFmtId="0" fontId="32" fillId="9" borderId="0" xfId="0" applyFont="1" applyFill="1" applyBorder="1" applyAlignment="1">
      <alignment horizontal="center"/>
    </xf>
    <xf numFmtId="0" fontId="32" fillId="9" borderId="26" xfId="0" applyFont="1" applyFill="1" applyBorder="1" applyAlignment="1">
      <alignment horizontal="center"/>
    </xf>
    <xf numFmtId="0" fontId="32" fillId="9" borderId="27" xfId="0" applyFont="1" applyFill="1" applyBorder="1" applyAlignment="1">
      <alignment horizontal="center"/>
    </xf>
    <xf numFmtId="0" fontId="32" fillId="9" borderId="27" xfId="0" applyFont="1" applyFill="1" applyBorder="1"/>
    <xf numFmtId="0" fontId="19" fillId="8" borderId="0" xfId="0" applyFont="1" applyFill="1"/>
    <xf numFmtId="0" fontId="24" fillId="8" borderId="0" xfId="0" applyFont="1" applyFill="1"/>
    <xf numFmtId="0" fontId="27" fillId="8" borderId="5" xfId="0" applyFont="1" applyFill="1" applyBorder="1" applyProtection="1"/>
    <xf numFmtId="0" fontId="27" fillId="8" borderId="6" xfId="0" applyFont="1" applyFill="1" applyBorder="1" applyProtection="1"/>
    <xf numFmtId="0" fontId="27" fillId="8" borderId="6" xfId="0" applyFont="1" applyFill="1" applyBorder="1" applyAlignment="1" applyProtection="1">
      <alignment horizontal="center"/>
    </xf>
    <xf numFmtId="1" fontId="27" fillId="8" borderId="18" xfId="0" applyNumberFormat="1" applyFont="1" applyFill="1" applyBorder="1" applyAlignment="1" applyProtection="1">
      <alignment horizontal="center"/>
    </xf>
    <xf numFmtId="0" fontId="0" fillId="8" borderId="22" xfId="0" applyFill="1" applyBorder="1"/>
    <xf numFmtId="0" fontId="0" fillId="8" borderId="23" xfId="0" applyFill="1" applyBorder="1"/>
    <xf numFmtId="0" fontId="0" fillId="8" borderId="24" xfId="0" applyFill="1" applyBorder="1"/>
    <xf numFmtId="0" fontId="0" fillId="8" borderId="0" xfId="0" applyFill="1" applyBorder="1"/>
    <xf numFmtId="0" fontId="0" fillId="8" borderId="25" xfId="0" applyFill="1" applyBorder="1"/>
    <xf numFmtId="0" fontId="33" fillId="8" borderId="0" xfId="0" applyFont="1" applyFill="1" applyBorder="1"/>
    <xf numFmtId="0" fontId="33" fillId="8" borderId="25" xfId="0" applyFont="1" applyFill="1" applyBorder="1"/>
    <xf numFmtId="0" fontId="2" fillId="8" borderId="0" xfId="0" applyFont="1" applyFill="1" applyBorder="1"/>
    <xf numFmtId="0" fontId="34" fillId="8" borderId="0" xfId="0" applyFont="1" applyFill="1" applyBorder="1" applyAlignment="1">
      <alignment horizontal="left"/>
    </xf>
    <xf numFmtId="0" fontId="34" fillId="8" borderId="0" xfId="0" applyFont="1" applyFill="1" applyBorder="1"/>
    <xf numFmtId="0" fontId="0" fillId="8" borderId="27" xfId="0" applyFill="1" applyBorder="1"/>
    <xf numFmtId="0" fontId="31" fillId="8" borderId="24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0" fillId="8" borderId="26" xfId="0" applyFill="1" applyBorder="1"/>
    <xf numFmtId="0" fontId="0" fillId="8" borderId="28" xfId="0" applyFill="1" applyBorder="1"/>
    <xf numFmtId="0" fontId="0" fillId="8" borderId="21" xfId="0" applyFill="1" applyBorder="1"/>
    <xf numFmtId="0" fontId="22" fillId="8" borderId="24" xfId="0" applyFont="1" applyFill="1" applyBorder="1"/>
    <xf numFmtId="0" fontId="35" fillId="8" borderId="0" xfId="0" applyFont="1" applyFill="1" applyBorder="1" applyAlignment="1">
      <alignment horizontal="left"/>
    </xf>
    <xf numFmtId="0" fontId="36" fillId="8" borderId="0" xfId="0" applyFont="1" applyFill="1" applyBorder="1"/>
    <xf numFmtId="0" fontId="0" fillId="8" borderId="0" xfId="0" applyFill="1" applyProtection="1"/>
    <xf numFmtId="0" fontId="0" fillId="0" borderId="0" xfId="0" applyProtection="1"/>
    <xf numFmtId="0" fontId="23" fillId="8" borderId="0" xfId="0" applyFont="1" applyFill="1" applyProtection="1"/>
    <xf numFmtId="0" fontId="13" fillId="8" borderId="0" xfId="0" applyFont="1" applyFill="1" applyProtection="1"/>
    <xf numFmtId="0" fontId="13" fillId="8" borderId="0" xfId="0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22" fillId="8" borderId="24" xfId="0" applyFont="1" applyFill="1" applyBorder="1" applyProtection="1"/>
    <xf numFmtId="0" fontId="0" fillId="8" borderId="24" xfId="0" applyFill="1" applyBorder="1" applyAlignment="1" applyProtection="1">
      <alignment horizontal="center"/>
    </xf>
    <xf numFmtId="0" fontId="13" fillId="8" borderId="0" xfId="0" applyFont="1" applyFill="1" applyAlignment="1" applyProtection="1">
      <alignment horizontal="center"/>
    </xf>
    <xf numFmtId="0" fontId="2" fillId="8" borderId="0" xfId="0" applyFont="1" applyFill="1" applyBorder="1" applyAlignment="1" applyProtection="1">
      <alignment horizontal="left"/>
    </xf>
    <xf numFmtId="0" fontId="13" fillId="8" borderId="9" xfId="0" applyFont="1" applyFill="1" applyBorder="1" applyAlignment="1" applyProtection="1">
      <alignment horizontal="center"/>
    </xf>
    <xf numFmtId="0" fontId="4" fillId="8" borderId="0" xfId="0" applyFont="1" applyFill="1" applyBorder="1" applyAlignment="1" applyProtection="1">
      <alignment horizontal="center"/>
    </xf>
    <xf numFmtId="0" fontId="2" fillId="8" borderId="0" xfId="0" applyFont="1" applyFill="1" applyBorder="1" applyProtection="1"/>
    <xf numFmtId="0" fontId="13" fillId="8" borderId="0" xfId="0" applyFont="1" applyFill="1" applyAlignment="1" applyProtection="1">
      <alignment horizontal="left"/>
    </xf>
    <xf numFmtId="0" fontId="29" fillId="0" borderId="0" xfId="1" quotePrefix="1" applyAlignment="1" applyProtection="1"/>
    <xf numFmtId="0" fontId="13" fillId="8" borderId="0" xfId="0" applyFont="1" applyFill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0" fillId="0" borderId="3" xfId="0" applyBorder="1" applyProtection="1"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9" fontId="0" fillId="0" borderId="4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8" xfId="0" applyBorder="1" applyProtection="1">
      <protection locked="0"/>
    </xf>
    <xf numFmtId="2" fontId="0" fillId="0" borderId="6" xfId="0" applyNumberFormat="1" applyBorder="1" applyAlignment="1" applyProtection="1">
      <protection locked="0"/>
    </xf>
    <xf numFmtId="22" fontId="0" fillId="0" borderId="6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0" fontId="0" fillId="8" borderId="0" xfId="0" applyFont="1" applyFill="1" applyBorder="1" applyProtection="1"/>
    <xf numFmtId="0" fontId="0" fillId="0" borderId="0" xfId="0" applyAlignment="1" applyProtection="1">
      <alignment horizontal="center"/>
    </xf>
    <xf numFmtId="164" fontId="0" fillId="8" borderId="0" xfId="0" applyNumberFormat="1" applyFill="1" applyBorder="1" applyAlignment="1" applyProtection="1">
      <alignment horizontal="center"/>
    </xf>
    <xf numFmtId="0" fontId="0" fillId="8" borderId="32" xfId="0" applyFill="1" applyBorder="1" applyAlignment="1" applyProtection="1">
      <alignment horizontal="center"/>
    </xf>
    <xf numFmtId="0" fontId="0" fillId="8" borderId="33" xfId="0" applyFill="1" applyBorder="1" applyAlignment="1" applyProtection="1">
      <alignment horizontal="center"/>
    </xf>
    <xf numFmtId="0" fontId="0" fillId="8" borderId="34" xfId="0" applyFill="1" applyBorder="1" applyAlignment="1" applyProtection="1">
      <alignment horizontal="center"/>
    </xf>
    <xf numFmtId="0" fontId="0" fillId="8" borderId="3" xfId="0" applyFill="1" applyBorder="1" applyProtection="1"/>
    <xf numFmtId="0" fontId="0" fillId="8" borderId="35" xfId="0" applyFill="1" applyBorder="1" applyAlignment="1" applyProtection="1">
      <alignment horizontal="center"/>
    </xf>
    <xf numFmtId="0" fontId="0" fillId="8" borderId="36" xfId="0" applyFill="1" applyBorder="1" applyProtection="1"/>
    <xf numFmtId="0" fontId="0" fillId="8" borderId="4" xfId="0" applyFill="1" applyBorder="1" applyProtection="1"/>
    <xf numFmtId="0" fontId="0" fillId="8" borderId="4" xfId="0" applyFill="1" applyBorder="1" applyAlignment="1" applyProtection="1">
      <alignment horizontal="center"/>
    </xf>
    <xf numFmtId="164" fontId="0" fillId="8" borderId="4" xfId="0" applyNumberFormat="1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22" fillId="0" borderId="0" xfId="0" applyFont="1" applyProtection="1"/>
    <xf numFmtId="0" fontId="13" fillId="8" borderId="19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13" fillId="8" borderId="20" xfId="0" applyFont="1" applyFill="1" applyBorder="1" applyAlignment="1" applyProtection="1">
      <alignment horizontal="center"/>
    </xf>
    <xf numFmtId="0" fontId="13" fillId="8" borderId="18" xfId="0" applyFont="1" applyFill="1" applyBorder="1" applyAlignment="1" applyProtection="1">
      <alignment horizontal="center"/>
    </xf>
    <xf numFmtId="0" fontId="13" fillId="8" borderId="0" xfId="0" applyFont="1" applyFill="1" applyBorder="1" applyAlignment="1" applyProtection="1">
      <alignment horizontal="center" vertical="center"/>
    </xf>
    <xf numFmtId="0" fontId="13" fillId="8" borderId="11" xfId="0" applyFont="1" applyFill="1" applyBorder="1" applyAlignment="1" applyProtection="1">
      <alignment horizontal="center" vertical="center"/>
    </xf>
    <xf numFmtId="0" fontId="13" fillId="8" borderId="9" xfId="0" applyFont="1" applyFill="1" applyBorder="1" applyAlignment="1" applyProtection="1">
      <alignment horizontal="center" vertical="center"/>
    </xf>
    <xf numFmtId="0" fontId="0" fillId="8" borderId="10" xfId="0" applyFill="1" applyBorder="1" applyAlignment="1" applyProtection="1">
      <alignment horizontal="center"/>
    </xf>
    <xf numFmtId="0" fontId="0" fillId="8" borderId="11" xfId="0" applyFill="1" applyBorder="1" applyAlignment="1" applyProtection="1">
      <alignment horizontal="center"/>
    </xf>
    <xf numFmtId="0" fontId="0" fillId="8" borderId="13" xfId="0" applyFill="1" applyBorder="1" applyAlignment="1" applyProtection="1">
      <alignment horizontal="center"/>
    </xf>
    <xf numFmtId="0" fontId="0" fillId="8" borderId="9" xfId="0" applyFill="1" applyBorder="1" applyAlignment="1" applyProtection="1">
      <alignment horizontal="center"/>
    </xf>
    <xf numFmtId="0" fontId="0" fillId="8" borderId="9" xfId="0" applyFill="1" applyBorder="1" applyAlignment="1" applyProtection="1">
      <alignment horizontal="center"/>
      <protection locked="0"/>
    </xf>
    <xf numFmtId="0" fontId="0" fillId="8" borderId="15" xfId="0" applyFill="1" applyBorder="1" applyAlignment="1" applyProtection="1">
      <alignment horizontal="center"/>
      <protection locked="0"/>
    </xf>
    <xf numFmtId="0" fontId="0" fillId="8" borderId="14" xfId="0" applyFill="1" applyBorder="1" applyAlignment="1" applyProtection="1">
      <alignment horizontal="center"/>
      <protection locked="0"/>
    </xf>
    <xf numFmtId="0" fontId="0" fillId="8" borderId="16" xfId="0" applyFill="1" applyBorder="1" applyAlignment="1" applyProtection="1">
      <alignment horizontal="center"/>
      <protection locked="0"/>
    </xf>
    <xf numFmtId="0" fontId="13" fillId="8" borderId="12" xfId="0" applyFont="1" applyFill="1" applyBorder="1" applyAlignment="1" applyProtection="1">
      <alignment horizontal="center" vertical="center"/>
    </xf>
    <xf numFmtId="0" fontId="13" fillId="8" borderId="14" xfId="0" applyFont="1" applyFill="1" applyBorder="1" applyAlignment="1" applyProtection="1">
      <alignment horizontal="center" vertical="center"/>
    </xf>
    <xf numFmtId="49" fontId="0" fillId="8" borderId="5" xfId="0" applyNumberFormat="1" applyFill="1" applyBorder="1" applyAlignment="1" applyProtection="1">
      <alignment horizontal="center" vertical="center"/>
      <protection locked="0"/>
    </xf>
    <xf numFmtId="49" fontId="0" fillId="8" borderId="18" xfId="0" applyNumberFormat="1" applyFill="1" applyBorder="1" applyAlignment="1" applyProtection="1">
      <alignment horizontal="center" vertical="center"/>
      <protection locked="0"/>
    </xf>
    <xf numFmtId="22" fontId="0" fillId="8" borderId="29" xfId="0" applyNumberFormat="1" applyFill="1" applyBorder="1" applyAlignment="1" applyProtection="1">
      <alignment horizontal="center"/>
      <protection locked="0"/>
    </xf>
    <xf numFmtId="22" fontId="0" fillId="8" borderId="17" xfId="0" applyNumberFormat="1" applyFill="1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horizontal="left"/>
    </xf>
    <xf numFmtId="0" fontId="13" fillId="6" borderId="0" xfId="0" applyFont="1" applyFill="1" applyBorder="1" applyAlignment="1" applyProtection="1">
      <alignment horizontal="left"/>
    </xf>
    <xf numFmtId="0" fontId="0" fillId="8" borderId="0" xfId="0" applyFill="1" applyAlignment="1" applyProtection="1">
      <alignment horizontal="left"/>
      <protection locked="0"/>
    </xf>
    <xf numFmtId="0" fontId="32" fillId="9" borderId="0" xfId="0" applyFont="1" applyFill="1" applyBorder="1" applyAlignment="1">
      <alignment horizontal="center"/>
    </xf>
    <xf numFmtId="0" fontId="31" fillId="9" borderId="0" xfId="0" applyFont="1" applyFill="1" applyBorder="1" applyAlignment="1">
      <alignment horizontal="center"/>
    </xf>
    <xf numFmtId="0" fontId="13" fillId="9" borderId="0" xfId="0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0" xfId="0" applyFont="1" applyFill="1" applyBorder="1" applyAlignment="1"/>
    <xf numFmtId="0" fontId="0" fillId="9" borderId="0" xfId="0" applyFill="1" applyBorder="1" applyAlignme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2" fontId="0" fillId="0" borderId="30" xfId="0" applyNumberFormat="1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25" fillId="0" borderId="0" xfId="0" applyFont="1" applyAlignment="1">
      <alignment horizontal="center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13" fillId="3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1" fontId="13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'hasil perhitungan'!A1"/><Relationship Id="rId7" Type="http://schemas.openxmlformats.org/officeDocument/2006/relationships/hyperlink" Target="http://www.kampustekniksipil.co.cc" TargetMode="External"/><Relationship Id="rId2" Type="http://schemas.openxmlformats.org/officeDocument/2006/relationships/image" Target="../media/image1.png"/><Relationship Id="rId1" Type="http://schemas.openxmlformats.org/officeDocument/2006/relationships/hyperlink" Target="#'Desain Penulangan Pondasi'!A10"/><Relationship Id="rId6" Type="http://schemas.openxmlformats.org/officeDocument/2006/relationships/hyperlink" Target="#'hasil perhitungan'!A124"/><Relationship Id="rId5" Type="http://schemas.openxmlformats.org/officeDocument/2006/relationships/hyperlink" Target="#'hasil perhitungan'!A74"/><Relationship Id="rId4" Type="http://schemas.openxmlformats.org/officeDocument/2006/relationships/hyperlink" Target="#'hasil perhitungan'!A10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kampustekniksipil.co.cc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hyperlink" Target="http://www.kampustekniksipil.co.cc" TargetMode="External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8.png"/><Relationship Id="rId7" Type="http://schemas.openxmlformats.org/officeDocument/2006/relationships/hyperlink" Target="#'Input Data'!A1"/><Relationship Id="rId2" Type="http://schemas.openxmlformats.org/officeDocument/2006/relationships/image" Target="../media/image2.png"/><Relationship Id="rId1" Type="http://schemas.openxmlformats.org/officeDocument/2006/relationships/hyperlink" Target="http://www.kampustekniksipil.co.cc" TargetMode="Externa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103982</xdr:colOff>
      <xdr:row>0</xdr:row>
      <xdr:rowOff>0</xdr:rowOff>
    </xdr:from>
    <xdr:to>
      <xdr:col>0</xdr:col>
      <xdr:colOff>105570</xdr:colOff>
      <xdr:row>0</xdr:row>
      <xdr:rowOff>0</xdr:rowOff>
    </xdr:to>
    <xdr:cxnSp macro="">
      <xdr:nvCxnSpPr>
        <xdr:cNvPr id="2" name="Straight Connector 1"/>
        <xdr:cNvCxnSpPr/>
      </xdr:nvCxnSpPr>
      <xdr:spPr>
        <a:xfrm rot="5400000">
          <a:off x="104776" y="1551781"/>
          <a:ext cx="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145555</xdr:colOff>
      <xdr:row>23</xdr:row>
      <xdr:rowOff>33775</xdr:rowOff>
    </xdr:from>
    <xdr:to>
      <xdr:col>17</xdr:col>
      <xdr:colOff>248545</xdr:colOff>
      <xdr:row>23</xdr:row>
      <xdr:rowOff>34889</xdr:rowOff>
    </xdr:to>
    <xdr:cxnSp macro="">
      <xdr:nvCxnSpPr>
        <xdr:cNvPr id="166" name="Straight Connector 165"/>
        <xdr:cNvCxnSpPr/>
      </xdr:nvCxnSpPr>
      <xdr:spPr>
        <a:xfrm>
          <a:off x="5199408" y="4471304"/>
          <a:ext cx="2478637" cy="111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358582</xdr:colOff>
      <xdr:row>16</xdr:row>
      <xdr:rowOff>111355</xdr:rowOff>
    </xdr:from>
    <xdr:to>
      <xdr:col>16</xdr:col>
      <xdr:colOff>162319</xdr:colOff>
      <xdr:row>16</xdr:row>
      <xdr:rowOff>112469</xdr:rowOff>
    </xdr:to>
    <xdr:cxnSp macro="">
      <xdr:nvCxnSpPr>
        <xdr:cNvPr id="167" name="Straight Connector 166"/>
        <xdr:cNvCxnSpPr/>
      </xdr:nvCxnSpPr>
      <xdr:spPr>
        <a:xfrm>
          <a:off x="5905494" y="3215384"/>
          <a:ext cx="1013972" cy="1114"/>
        </a:xfrm>
        <a:prstGeom prst="line">
          <a:avLst/>
        </a:prstGeom>
        <a:ln>
          <a:solidFill>
            <a:sysClr val="windowText" lastClr="000000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148942</xdr:colOff>
      <xdr:row>16</xdr:row>
      <xdr:rowOff>18380</xdr:rowOff>
    </xdr:from>
    <xdr:to>
      <xdr:col>17</xdr:col>
      <xdr:colOff>264164</xdr:colOff>
      <xdr:row>23</xdr:row>
      <xdr:rowOff>34326</xdr:rowOff>
    </xdr:to>
    <xdr:grpSp>
      <xdr:nvGrpSpPr>
        <xdr:cNvPr id="168" name="Group 111"/>
        <xdr:cNvGrpSpPr/>
      </xdr:nvGrpSpPr>
      <xdr:grpSpPr>
        <a:xfrm>
          <a:off x="5206717" y="3133055"/>
          <a:ext cx="2505997" cy="1349446"/>
          <a:chOff x="1140875" y="6245838"/>
          <a:chExt cx="3303384" cy="1924051"/>
        </a:xfrm>
      </xdr:grpSpPr>
      <xdr:cxnSp macro="">
        <xdr:nvCxnSpPr>
          <xdr:cNvPr id="204" name="Straight Connector 203"/>
          <xdr:cNvCxnSpPr/>
        </xdr:nvCxnSpPr>
        <xdr:spPr>
          <a:xfrm rot="5400000">
            <a:off x="760662" y="7788102"/>
            <a:ext cx="762000" cy="157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" name="Straight Connector 204"/>
          <xdr:cNvCxnSpPr/>
        </xdr:nvCxnSpPr>
        <xdr:spPr>
          <a:xfrm rot="5400000">
            <a:off x="4054106" y="7788102"/>
            <a:ext cx="762000" cy="157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6" name="Straight Connector 205"/>
          <xdr:cNvCxnSpPr/>
        </xdr:nvCxnSpPr>
        <xdr:spPr>
          <a:xfrm>
            <a:off x="1141662" y="7397570"/>
            <a:ext cx="1338852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" name="Straight Connector 206"/>
          <xdr:cNvCxnSpPr/>
        </xdr:nvCxnSpPr>
        <xdr:spPr>
          <a:xfrm rot="5400000" flipH="1" flipV="1">
            <a:off x="1899577" y="6826077"/>
            <a:ext cx="1143000" cy="157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" name="Straight Connector 207"/>
          <xdr:cNvCxnSpPr/>
        </xdr:nvCxnSpPr>
        <xdr:spPr>
          <a:xfrm rot="5400000">
            <a:off x="2571998" y="6821314"/>
            <a:ext cx="1152525" cy="157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" name="Straight Connector 208"/>
          <xdr:cNvCxnSpPr/>
        </xdr:nvCxnSpPr>
        <xdr:spPr>
          <a:xfrm>
            <a:off x="3148259" y="7397570"/>
            <a:ext cx="129600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168090</xdr:colOff>
      <xdr:row>23</xdr:row>
      <xdr:rowOff>43763</xdr:rowOff>
    </xdr:from>
    <xdr:to>
      <xdr:col>17</xdr:col>
      <xdr:colOff>497914</xdr:colOff>
      <xdr:row>23</xdr:row>
      <xdr:rowOff>43763</xdr:rowOff>
    </xdr:to>
    <xdr:sp macro="" textlink="">
      <xdr:nvSpPr>
        <xdr:cNvPr id="178" name="Line 456"/>
        <xdr:cNvSpPr>
          <a:spLocks noChangeShapeType="1"/>
        </xdr:cNvSpPr>
      </xdr:nvSpPr>
      <xdr:spPr bwMode="auto">
        <a:xfrm>
          <a:off x="4975414" y="4481292"/>
          <a:ext cx="2952000" cy="0"/>
        </a:xfrm>
        <a:prstGeom prst="line">
          <a:avLst/>
        </a:prstGeom>
        <a:noFill/>
        <a:ln w="2476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150361</xdr:colOff>
      <xdr:row>23</xdr:row>
      <xdr:rowOff>114185</xdr:rowOff>
    </xdr:from>
    <xdr:to>
      <xdr:col>17</xdr:col>
      <xdr:colOff>279936</xdr:colOff>
      <xdr:row>24</xdr:row>
      <xdr:rowOff>57323</xdr:rowOff>
    </xdr:to>
    <xdr:grpSp>
      <xdr:nvGrpSpPr>
        <xdr:cNvPr id="179" name="Group 119"/>
        <xdr:cNvGrpSpPr/>
      </xdr:nvGrpSpPr>
      <xdr:grpSpPr>
        <a:xfrm>
          <a:off x="5208136" y="4562360"/>
          <a:ext cx="2520350" cy="133638"/>
          <a:chOff x="1098176" y="8315558"/>
          <a:chExt cx="3372972" cy="190500"/>
        </a:xfrm>
      </xdr:grpSpPr>
      <xdr:cxnSp macro="">
        <xdr:nvCxnSpPr>
          <xdr:cNvPr id="200" name="Straight Connector 199"/>
          <xdr:cNvCxnSpPr/>
        </xdr:nvCxnSpPr>
        <xdr:spPr>
          <a:xfrm>
            <a:off x="1098176" y="8404411"/>
            <a:ext cx="1299882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" name="Straight Connector 200"/>
          <xdr:cNvCxnSpPr/>
        </xdr:nvCxnSpPr>
        <xdr:spPr>
          <a:xfrm>
            <a:off x="3171266" y="8404411"/>
            <a:ext cx="1299882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" name="Straight Connector 201"/>
          <xdr:cNvCxnSpPr/>
        </xdr:nvCxnSpPr>
        <xdr:spPr>
          <a:xfrm rot="5400000">
            <a:off x="1036543" y="8410014"/>
            <a:ext cx="19050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3" name="Straight Connector 202"/>
          <xdr:cNvCxnSpPr/>
        </xdr:nvCxnSpPr>
        <xdr:spPr>
          <a:xfrm rot="5400000">
            <a:off x="4342280" y="8410014"/>
            <a:ext cx="19050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31976</xdr:colOff>
      <xdr:row>15</xdr:row>
      <xdr:rowOff>88978</xdr:rowOff>
    </xdr:from>
    <xdr:to>
      <xdr:col>15</xdr:col>
      <xdr:colOff>187071</xdr:colOff>
      <xdr:row>15</xdr:row>
      <xdr:rowOff>90092</xdr:rowOff>
    </xdr:to>
    <xdr:cxnSp macro="">
      <xdr:nvCxnSpPr>
        <xdr:cNvPr id="196" name="Straight Connector 195"/>
        <xdr:cNvCxnSpPr/>
      </xdr:nvCxnSpPr>
      <xdr:spPr>
        <a:xfrm>
          <a:off x="5657329" y="1075096"/>
          <a:ext cx="155095" cy="111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430552</xdr:colOff>
      <xdr:row>15</xdr:row>
      <xdr:rowOff>96839</xdr:rowOff>
    </xdr:from>
    <xdr:to>
      <xdr:col>16</xdr:col>
      <xdr:colOff>8728</xdr:colOff>
      <xdr:row>15</xdr:row>
      <xdr:rowOff>97953</xdr:rowOff>
    </xdr:to>
    <xdr:cxnSp macro="">
      <xdr:nvCxnSpPr>
        <xdr:cNvPr id="197" name="Straight Connector 196"/>
        <xdr:cNvCxnSpPr/>
      </xdr:nvCxnSpPr>
      <xdr:spPr>
        <a:xfrm>
          <a:off x="6055905" y="1082957"/>
          <a:ext cx="183294" cy="111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75038</xdr:colOff>
      <xdr:row>15</xdr:row>
      <xdr:rowOff>34508</xdr:rowOff>
    </xdr:from>
    <xdr:to>
      <xdr:col>15</xdr:col>
      <xdr:colOff>76037</xdr:colOff>
      <xdr:row>15</xdr:row>
      <xdr:rowOff>136701</xdr:rowOff>
    </xdr:to>
    <xdr:cxnSp macro="">
      <xdr:nvCxnSpPr>
        <xdr:cNvPr id="198" name="Straight Connector 197"/>
        <xdr:cNvCxnSpPr/>
      </xdr:nvCxnSpPr>
      <xdr:spPr>
        <a:xfrm rot="5400000">
          <a:off x="5649794" y="1071223"/>
          <a:ext cx="102193" cy="9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512124</xdr:colOff>
      <xdr:row>15</xdr:row>
      <xdr:rowOff>42370</xdr:rowOff>
    </xdr:from>
    <xdr:to>
      <xdr:col>15</xdr:col>
      <xdr:colOff>513123</xdr:colOff>
      <xdr:row>15</xdr:row>
      <xdr:rowOff>152423</xdr:rowOff>
    </xdr:to>
    <xdr:cxnSp macro="">
      <xdr:nvCxnSpPr>
        <xdr:cNvPr id="199" name="Straight Connector 198"/>
        <xdr:cNvCxnSpPr/>
      </xdr:nvCxnSpPr>
      <xdr:spPr>
        <a:xfrm rot="5400000">
          <a:off x="6082950" y="1083015"/>
          <a:ext cx="110053" cy="9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200323</xdr:colOff>
      <xdr:row>17</xdr:row>
      <xdr:rowOff>55668</xdr:rowOff>
    </xdr:from>
    <xdr:to>
      <xdr:col>11</xdr:col>
      <xdr:colOff>201322</xdr:colOff>
      <xdr:row>23</xdr:row>
      <xdr:rowOff>100668</xdr:rowOff>
    </xdr:to>
    <xdr:cxnSp macro="">
      <xdr:nvCxnSpPr>
        <xdr:cNvPr id="194" name="Straight Connector 193"/>
        <xdr:cNvCxnSpPr/>
      </xdr:nvCxnSpPr>
      <xdr:spPr>
        <a:xfrm rot="5400000">
          <a:off x="4414147" y="3943697"/>
          <a:ext cx="1188000" cy="9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170995</xdr:colOff>
      <xdr:row>20</xdr:row>
      <xdr:rowOff>62976</xdr:rowOff>
    </xdr:from>
    <xdr:to>
      <xdr:col>11</xdr:col>
      <xdr:colOff>238639</xdr:colOff>
      <xdr:row>20</xdr:row>
      <xdr:rowOff>64090</xdr:rowOff>
    </xdr:to>
    <xdr:cxnSp macro="">
      <xdr:nvCxnSpPr>
        <xdr:cNvPr id="195" name="Straight Connector 194"/>
        <xdr:cNvCxnSpPr/>
      </xdr:nvCxnSpPr>
      <xdr:spPr>
        <a:xfrm rot="10800000">
          <a:off x="4978319" y="3929005"/>
          <a:ext cx="67644" cy="111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142883</xdr:colOff>
      <xdr:row>26</xdr:row>
      <xdr:rowOff>44823</xdr:rowOff>
    </xdr:from>
    <xdr:to>
      <xdr:col>17</xdr:col>
      <xdr:colOff>579065</xdr:colOff>
      <xdr:row>39</xdr:row>
      <xdr:rowOff>20553</xdr:rowOff>
    </xdr:to>
    <xdr:grpSp>
      <xdr:nvGrpSpPr>
        <xdr:cNvPr id="226" name="Group 225"/>
        <xdr:cNvGrpSpPr/>
      </xdr:nvGrpSpPr>
      <xdr:grpSpPr>
        <a:xfrm>
          <a:off x="5200658" y="5064498"/>
          <a:ext cx="2826957" cy="2452230"/>
          <a:chOff x="4662773" y="3260912"/>
          <a:chExt cx="2438113" cy="2452230"/>
        </a:xfrm>
      </xdr:grpSpPr>
      <xdr:sp macro="" textlink="">
        <xdr:nvSpPr>
          <xdr:cNvPr id="211" name="Rectangle 210"/>
          <xdr:cNvSpPr/>
        </xdr:nvSpPr>
        <xdr:spPr>
          <a:xfrm>
            <a:off x="4663476" y="3578681"/>
            <a:ext cx="2167139" cy="205987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212" name="Rectangle 211"/>
          <xdr:cNvSpPr/>
        </xdr:nvSpPr>
        <xdr:spPr>
          <a:xfrm>
            <a:off x="5521863" y="4320539"/>
            <a:ext cx="404414" cy="481792"/>
          </a:xfrm>
          <a:prstGeom prst="rect">
            <a:avLst/>
          </a:prstGeom>
          <a:solidFill>
            <a:sysClr val="window" lastClr="FFFFFF"/>
          </a:solidFill>
          <a:ln>
            <a:bevel/>
          </a:ln>
          <a:effectLst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cxnSp macro="">
        <xdr:nvCxnSpPr>
          <xdr:cNvPr id="213" name="Straight Connector 212"/>
          <xdr:cNvCxnSpPr/>
        </xdr:nvCxnSpPr>
        <xdr:spPr>
          <a:xfrm>
            <a:off x="4663476" y="3345719"/>
            <a:ext cx="742252" cy="2044"/>
          </a:xfrm>
          <a:prstGeom prst="line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4" name="Straight Connector 213"/>
          <xdr:cNvCxnSpPr/>
        </xdr:nvCxnSpPr>
        <xdr:spPr>
          <a:xfrm>
            <a:off x="5987507" y="3333458"/>
            <a:ext cx="834662" cy="2044"/>
          </a:xfrm>
          <a:prstGeom prst="line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5" name="Straight Connector 214"/>
          <xdr:cNvCxnSpPr/>
        </xdr:nvCxnSpPr>
        <xdr:spPr>
          <a:xfrm rot="5400000">
            <a:off x="4571518" y="3352167"/>
            <a:ext cx="183917" cy="1408"/>
          </a:xfrm>
          <a:prstGeom prst="line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6" name="Straight Connector 215"/>
          <xdr:cNvCxnSpPr/>
        </xdr:nvCxnSpPr>
        <xdr:spPr>
          <a:xfrm rot="5400000">
            <a:off x="6730211" y="3352168"/>
            <a:ext cx="183917" cy="1408"/>
          </a:xfrm>
          <a:prstGeom prst="line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7" name="Straight Connector 216"/>
          <xdr:cNvCxnSpPr/>
        </xdr:nvCxnSpPr>
        <xdr:spPr>
          <a:xfrm rot="5400000">
            <a:off x="6598048" y="4002008"/>
            <a:ext cx="870541" cy="1408"/>
          </a:xfrm>
          <a:prstGeom prst="line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8" name="Straight Connector 217"/>
          <xdr:cNvCxnSpPr/>
        </xdr:nvCxnSpPr>
        <xdr:spPr>
          <a:xfrm rot="5400000">
            <a:off x="6534427" y="5221992"/>
            <a:ext cx="980892" cy="1408"/>
          </a:xfrm>
          <a:prstGeom prst="line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9" name="Straight Connector 218"/>
          <xdr:cNvCxnSpPr/>
        </xdr:nvCxnSpPr>
        <xdr:spPr>
          <a:xfrm>
            <a:off x="6965750" y="3615464"/>
            <a:ext cx="135136" cy="2044"/>
          </a:xfrm>
          <a:prstGeom prst="line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" name="Straight Connector 219"/>
          <xdr:cNvCxnSpPr/>
        </xdr:nvCxnSpPr>
        <xdr:spPr>
          <a:xfrm>
            <a:off x="6957304" y="5663076"/>
            <a:ext cx="135136" cy="2044"/>
          </a:xfrm>
          <a:prstGeom prst="line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492266</xdr:colOff>
      <xdr:row>34</xdr:row>
      <xdr:rowOff>79234</xdr:rowOff>
    </xdr:from>
    <xdr:to>
      <xdr:col>15</xdr:col>
      <xdr:colOff>493854</xdr:colOff>
      <xdr:row>40</xdr:row>
      <xdr:rowOff>793</xdr:rowOff>
    </xdr:to>
    <xdr:cxnSp macro="">
      <xdr:nvCxnSpPr>
        <xdr:cNvPr id="229" name="Straight Connector 228"/>
        <xdr:cNvCxnSpPr/>
      </xdr:nvCxnSpPr>
      <xdr:spPr>
        <a:xfrm rot="5400000">
          <a:off x="6112809" y="7143749"/>
          <a:ext cx="1064559" cy="1588"/>
        </a:xfrm>
        <a:prstGeom prst="line">
          <a:avLst/>
        </a:prstGeom>
        <a:ln>
          <a:solidFill>
            <a:srgbClr val="00B05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32824</xdr:colOff>
      <xdr:row>34</xdr:row>
      <xdr:rowOff>79235</xdr:rowOff>
    </xdr:from>
    <xdr:to>
      <xdr:col>15</xdr:col>
      <xdr:colOff>34412</xdr:colOff>
      <xdr:row>40</xdr:row>
      <xdr:rowOff>794</xdr:rowOff>
    </xdr:to>
    <xdr:cxnSp macro="">
      <xdr:nvCxnSpPr>
        <xdr:cNvPr id="230" name="Straight Connector 229"/>
        <xdr:cNvCxnSpPr/>
      </xdr:nvCxnSpPr>
      <xdr:spPr>
        <a:xfrm rot="5400000">
          <a:off x="5653367" y="7143750"/>
          <a:ext cx="1064559" cy="1588"/>
        </a:xfrm>
        <a:prstGeom prst="line">
          <a:avLst/>
        </a:prstGeom>
        <a:ln>
          <a:solidFill>
            <a:srgbClr val="00B05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571503</xdr:colOff>
      <xdr:row>39</xdr:row>
      <xdr:rowOff>100852</xdr:rowOff>
    </xdr:from>
    <xdr:to>
      <xdr:col>15</xdr:col>
      <xdr:colOff>578386</xdr:colOff>
      <xdr:row>39</xdr:row>
      <xdr:rowOff>102440</xdr:rowOff>
    </xdr:to>
    <xdr:cxnSp macro="">
      <xdr:nvCxnSpPr>
        <xdr:cNvPr id="232" name="Straight Connector 231"/>
        <xdr:cNvCxnSpPr/>
      </xdr:nvCxnSpPr>
      <xdr:spPr>
        <a:xfrm>
          <a:off x="6118415" y="7586381"/>
          <a:ext cx="612000" cy="1588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201707</xdr:colOff>
      <xdr:row>31</xdr:row>
      <xdr:rowOff>156882</xdr:rowOff>
    </xdr:from>
    <xdr:to>
      <xdr:col>15</xdr:col>
      <xdr:colOff>224119</xdr:colOff>
      <xdr:row>31</xdr:row>
      <xdr:rowOff>158470</xdr:rowOff>
    </xdr:to>
    <xdr:cxnSp macro="">
      <xdr:nvCxnSpPr>
        <xdr:cNvPr id="234" name="Straight Connector 233"/>
        <xdr:cNvCxnSpPr/>
      </xdr:nvCxnSpPr>
      <xdr:spPr>
        <a:xfrm rot="10800000">
          <a:off x="5009031" y="6118411"/>
          <a:ext cx="1367117" cy="1588"/>
        </a:xfrm>
        <a:prstGeom prst="line">
          <a:avLst/>
        </a:prstGeom>
        <a:ln>
          <a:solidFill>
            <a:srgbClr val="00B05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201707</xdr:colOff>
      <xdr:row>34</xdr:row>
      <xdr:rowOff>67235</xdr:rowOff>
    </xdr:from>
    <xdr:to>
      <xdr:col>15</xdr:col>
      <xdr:colOff>224119</xdr:colOff>
      <xdr:row>34</xdr:row>
      <xdr:rowOff>68823</xdr:rowOff>
    </xdr:to>
    <xdr:cxnSp macro="">
      <xdr:nvCxnSpPr>
        <xdr:cNvPr id="235" name="Straight Connector 234"/>
        <xdr:cNvCxnSpPr/>
      </xdr:nvCxnSpPr>
      <xdr:spPr>
        <a:xfrm rot="10800000">
          <a:off x="5009031" y="6600264"/>
          <a:ext cx="1367117" cy="1588"/>
        </a:xfrm>
        <a:prstGeom prst="line">
          <a:avLst/>
        </a:prstGeom>
        <a:ln>
          <a:solidFill>
            <a:srgbClr val="00B05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44032</xdr:colOff>
      <xdr:row>31</xdr:row>
      <xdr:rowOff>79234</xdr:rowOff>
    </xdr:from>
    <xdr:to>
      <xdr:col>12</xdr:col>
      <xdr:colOff>45620</xdr:colOff>
      <xdr:row>34</xdr:row>
      <xdr:rowOff>135263</xdr:rowOff>
    </xdr:to>
    <xdr:cxnSp macro="">
      <xdr:nvCxnSpPr>
        <xdr:cNvPr id="237" name="Straight Connector 236"/>
        <xdr:cNvCxnSpPr/>
      </xdr:nvCxnSpPr>
      <xdr:spPr>
        <a:xfrm rot="5400000">
          <a:off x="4784914" y="6353734"/>
          <a:ext cx="627529" cy="1588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83030</xdr:colOff>
      <xdr:row>17</xdr:row>
      <xdr:rowOff>89647</xdr:rowOff>
    </xdr:from>
    <xdr:to>
      <xdr:col>15</xdr:col>
      <xdr:colOff>56030</xdr:colOff>
      <xdr:row>17</xdr:row>
      <xdr:rowOff>91235</xdr:rowOff>
    </xdr:to>
    <xdr:cxnSp macro="">
      <xdr:nvCxnSpPr>
        <xdr:cNvPr id="239" name="Straight Connector 238"/>
        <xdr:cNvCxnSpPr/>
      </xdr:nvCxnSpPr>
      <xdr:spPr>
        <a:xfrm rot="10800000">
          <a:off x="4890354" y="3384176"/>
          <a:ext cx="1317705" cy="1588"/>
        </a:xfrm>
        <a:prstGeom prst="line">
          <a:avLst/>
        </a:prstGeom>
        <a:ln>
          <a:solidFill>
            <a:schemeClr val="accent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571501</xdr:colOff>
      <xdr:row>17</xdr:row>
      <xdr:rowOff>89647</xdr:rowOff>
    </xdr:from>
    <xdr:to>
      <xdr:col>17</xdr:col>
      <xdr:colOff>425825</xdr:colOff>
      <xdr:row>17</xdr:row>
      <xdr:rowOff>91235</xdr:rowOff>
    </xdr:to>
    <xdr:cxnSp macro="">
      <xdr:nvCxnSpPr>
        <xdr:cNvPr id="240" name="Straight Connector 239"/>
        <xdr:cNvCxnSpPr/>
      </xdr:nvCxnSpPr>
      <xdr:spPr>
        <a:xfrm rot="10800000">
          <a:off x="6723530" y="3384176"/>
          <a:ext cx="1131795" cy="1588"/>
        </a:xfrm>
        <a:prstGeom prst="line">
          <a:avLst/>
        </a:prstGeom>
        <a:ln>
          <a:solidFill>
            <a:schemeClr val="accent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537885</xdr:colOff>
      <xdr:row>16</xdr:row>
      <xdr:rowOff>156881</xdr:rowOff>
    </xdr:from>
    <xdr:to>
      <xdr:col>16</xdr:col>
      <xdr:colOff>645885</xdr:colOff>
      <xdr:row>17</xdr:row>
      <xdr:rowOff>74381</xdr:rowOff>
    </xdr:to>
    <xdr:sp macro="" textlink="">
      <xdr:nvSpPr>
        <xdr:cNvPr id="243" name="Isosceles Triangle 242"/>
        <xdr:cNvSpPr/>
      </xdr:nvSpPr>
      <xdr:spPr>
        <a:xfrm flipV="1">
          <a:off x="7295032" y="3260910"/>
          <a:ext cx="108000" cy="108000"/>
        </a:xfrm>
        <a:prstGeom prst="triangle">
          <a:avLst/>
        </a:prstGeom>
        <a:solidFill>
          <a:sysClr val="window" lastClr="FFFFFF"/>
        </a:solidFill>
        <a:ln w="31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15</xdr:col>
      <xdr:colOff>11206</xdr:colOff>
      <xdr:row>13</xdr:row>
      <xdr:rowOff>22411</xdr:rowOff>
    </xdr:from>
    <xdr:to>
      <xdr:col>15</xdr:col>
      <xdr:colOff>582706</xdr:colOff>
      <xdr:row>16</xdr:row>
      <xdr:rowOff>100853</xdr:rowOff>
    </xdr:to>
    <xdr:sp macro="" textlink="">
      <xdr:nvSpPr>
        <xdr:cNvPr id="250" name="Circular Arrow 249"/>
        <xdr:cNvSpPr/>
      </xdr:nvSpPr>
      <xdr:spPr>
        <a:xfrm>
          <a:off x="5636559" y="627529"/>
          <a:ext cx="571500" cy="649942"/>
        </a:xfrm>
        <a:prstGeom prst="circular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id-ID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201705</xdr:colOff>
      <xdr:row>12</xdr:row>
      <xdr:rowOff>56029</xdr:rowOff>
    </xdr:from>
    <xdr:to>
      <xdr:col>15</xdr:col>
      <xdr:colOff>380999</xdr:colOff>
      <xdr:row>14</xdr:row>
      <xdr:rowOff>179293</xdr:rowOff>
    </xdr:to>
    <xdr:sp macro="" textlink="">
      <xdr:nvSpPr>
        <xdr:cNvPr id="251" name="Down Arrow 250"/>
        <xdr:cNvSpPr/>
      </xdr:nvSpPr>
      <xdr:spPr>
        <a:xfrm>
          <a:off x="5827058" y="470647"/>
          <a:ext cx="179294" cy="504264"/>
        </a:xfrm>
        <a:prstGeom prst="down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 editAs="oneCell">
    <xdr:from>
      <xdr:col>15</xdr:col>
      <xdr:colOff>74876</xdr:colOff>
      <xdr:row>54</xdr:row>
      <xdr:rowOff>149754</xdr:rowOff>
    </xdr:from>
    <xdr:to>
      <xdr:col>15</xdr:col>
      <xdr:colOff>360626</xdr:colOff>
      <xdr:row>56</xdr:row>
      <xdr:rowOff>111654</xdr:rowOff>
    </xdr:to>
    <xdr:pic>
      <xdr:nvPicPr>
        <xdr:cNvPr id="48" name="Picture 47" descr="002AJ12.png">
          <a:hlinkClick xmlns:r="http://schemas.openxmlformats.org/officeDocument/2006/relationships" r:id="rId1" tooltip="Klik Disini Untuk Lihat Detail Tulangan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6905" y="10694489"/>
          <a:ext cx="285750" cy="342900"/>
        </a:xfrm>
        <a:prstGeom prst="rect">
          <a:avLst/>
        </a:prstGeom>
      </xdr:spPr>
    </xdr:pic>
    <xdr:clientData/>
  </xdr:twoCellAnchor>
  <xdr:twoCellAnchor editAs="oneCell">
    <xdr:from>
      <xdr:col>8</xdr:col>
      <xdr:colOff>478288</xdr:colOff>
      <xdr:row>37</xdr:row>
      <xdr:rowOff>183372</xdr:rowOff>
    </xdr:from>
    <xdr:to>
      <xdr:col>9</xdr:col>
      <xdr:colOff>259773</xdr:colOff>
      <xdr:row>39</xdr:row>
      <xdr:rowOff>145272</xdr:rowOff>
    </xdr:to>
    <xdr:pic>
      <xdr:nvPicPr>
        <xdr:cNvPr id="49" name="Picture 48" descr="002AJ12.png">
          <a:hlinkClick xmlns:r="http://schemas.openxmlformats.org/officeDocument/2006/relationships" r:id="rId3" tooltip="Klik Disini Untuk Lihat Hasil Hitungan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3670" y="7287901"/>
          <a:ext cx="285750" cy="342900"/>
        </a:xfrm>
        <a:prstGeom prst="rect">
          <a:avLst/>
        </a:prstGeom>
      </xdr:spPr>
    </xdr:pic>
    <xdr:clientData/>
  </xdr:twoCellAnchor>
  <xdr:twoCellAnchor editAs="oneCell">
    <xdr:from>
      <xdr:col>19</xdr:col>
      <xdr:colOff>30052</xdr:colOff>
      <xdr:row>45</xdr:row>
      <xdr:rowOff>37696</xdr:rowOff>
    </xdr:from>
    <xdr:to>
      <xdr:col>19</xdr:col>
      <xdr:colOff>315802</xdr:colOff>
      <xdr:row>46</xdr:row>
      <xdr:rowOff>190096</xdr:rowOff>
    </xdr:to>
    <xdr:pic>
      <xdr:nvPicPr>
        <xdr:cNvPr id="50" name="Picture 49" descr="002AJ12.png">
          <a:hlinkClick xmlns:r="http://schemas.openxmlformats.org/officeDocument/2006/relationships" r:id="rId4" tooltip="Klik Disini Untuk Lihat Hasil Analisa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9787" y="8666225"/>
          <a:ext cx="285750" cy="342900"/>
        </a:xfrm>
        <a:prstGeom prst="rect">
          <a:avLst/>
        </a:prstGeom>
      </xdr:spPr>
    </xdr:pic>
    <xdr:clientData/>
  </xdr:twoCellAnchor>
  <xdr:twoCellAnchor editAs="oneCell">
    <xdr:from>
      <xdr:col>19</xdr:col>
      <xdr:colOff>52463</xdr:colOff>
      <xdr:row>48</xdr:row>
      <xdr:rowOff>149755</xdr:rowOff>
    </xdr:from>
    <xdr:to>
      <xdr:col>19</xdr:col>
      <xdr:colOff>338213</xdr:colOff>
      <xdr:row>50</xdr:row>
      <xdr:rowOff>111655</xdr:rowOff>
    </xdr:to>
    <xdr:pic>
      <xdr:nvPicPr>
        <xdr:cNvPr id="51" name="Picture 50" descr="002AJ12.png">
          <a:hlinkClick xmlns:r="http://schemas.openxmlformats.org/officeDocument/2006/relationships" r:id="rId5" tooltip="Klik Disini Untuk Lihat Hasil Analisa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2198" y="9349784"/>
          <a:ext cx="285750" cy="342900"/>
        </a:xfrm>
        <a:prstGeom prst="rect">
          <a:avLst/>
        </a:prstGeom>
      </xdr:spPr>
    </xdr:pic>
    <xdr:clientData/>
  </xdr:twoCellAnchor>
  <xdr:twoCellAnchor editAs="oneCell">
    <xdr:from>
      <xdr:col>19</xdr:col>
      <xdr:colOff>52463</xdr:colOff>
      <xdr:row>51</xdr:row>
      <xdr:rowOff>127343</xdr:rowOff>
    </xdr:from>
    <xdr:to>
      <xdr:col>19</xdr:col>
      <xdr:colOff>338213</xdr:colOff>
      <xdr:row>53</xdr:row>
      <xdr:rowOff>89243</xdr:rowOff>
    </xdr:to>
    <xdr:pic>
      <xdr:nvPicPr>
        <xdr:cNvPr id="52" name="Picture 51" descr="002AJ12.png">
          <a:hlinkClick xmlns:r="http://schemas.openxmlformats.org/officeDocument/2006/relationships" r:id="rId6" tooltip="Klik Disini Untuk Lihat Hasil Analisa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2198" y="9898872"/>
          <a:ext cx="285750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197956</xdr:colOff>
      <xdr:row>57</xdr:row>
      <xdr:rowOff>156883</xdr:rowOff>
    </xdr:from>
    <xdr:to>
      <xdr:col>14</xdr:col>
      <xdr:colOff>513912</xdr:colOff>
      <xdr:row>61</xdr:row>
      <xdr:rowOff>156883</xdr:rowOff>
    </xdr:to>
    <xdr:pic>
      <xdr:nvPicPr>
        <xdr:cNvPr id="53" name="Picture 52" descr="5.pn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005280" y="11093824"/>
          <a:ext cx="1055544" cy="76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14</xdr:row>
      <xdr:rowOff>104775</xdr:rowOff>
    </xdr:from>
    <xdr:to>
      <xdr:col>6</xdr:col>
      <xdr:colOff>400050</xdr:colOff>
      <xdr:row>14</xdr:row>
      <xdr:rowOff>106363</xdr:rowOff>
    </xdr:to>
    <xdr:cxnSp macro="">
      <xdr:nvCxnSpPr>
        <xdr:cNvPr id="2" name="Straight Connector 1"/>
        <xdr:cNvCxnSpPr/>
      </xdr:nvCxnSpPr>
      <xdr:spPr>
        <a:xfrm>
          <a:off x="828675" y="3943350"/>
          <a:ext cx="128587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14</xdr:row>
      <xdr:rowOff>104775</xdr:rowOff>
    </xdr:from>
    <xdr:to>
      <xdr:col>11</xdr:col>
      <xdr:colOff>507675</xdr:colOff>
      <xdr:row>14</xdr:row>
      <xdr:rowOff>106363</xdr:rowOff>
    </xdr:to>
    <xdr:cxnSp macro="">
      <xdr:nvCxnSpPr>
        <xdr:cNvPr id="3" name="Straight Connector 2"/>
        <xdr:cNvCxnSpPr/>
      </xdr:nvCxnSpPr>
      <xdr:spPr>
        <a:xfrm>
          <a:off x="2657475" y="3943350"/>
          <a:ext cx="19269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66675</xdr:colOff>
      <xdr:row>14</xdr:row>
      <xdr:rowOff>104775</xdr:rowOff>
    </xdr:from>
    <xdr:to>
      <xdr:col>16</xdr:col>
      <xdr:colOff>507675</xdr:colOff>
      <xdr:row>14</xdr:row>
      <xdr:rowOff>106363</xdr:rowOff>
    </xdr:to>
    <xdr:cxnSp macro="">
      <xdr:nvCxnSpPr>
        <xdr:cNvPr id="4" name="Straight Connector 3"/>
        <xdr:cNvCxnSpPr/>
      </xdr:nvCxnSpPr>
      <xdr:spPr>
        <a:xfrm>
          <a:off x="3038475" y="2390775"/>
          <a:ext cx="64102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24</xdr:row>
      <xdr:rowOff>104775</xdr:rowOff>
    </xdr:from>
    <xdr:to>
      <xdr:col>6</xdr:col>
      <xdr:colOff>400050</xdr:colOff>
      <xdr:row>24</xdr:row>
      <xdr:rowOff>106363</xdr:rowOff>
    </xdr:to>
    <xdr:cxnSp macro="">
      <xdr:nvCxnSpPr>
        <xdr:cNvPr id="8" name="Straight Connector 7"/>
        <xdr:cNvCxnSpPr/>
      </xdr:nvCxnSpPr>
      <xdr:spPr>
        <a:xfrm>
          <a:off x="2505075" y="2771775"/>
          <a:ext cx="33337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24</xdr:row>
      <xdr:rowOff>104775</xdr:rowOff>
    </xdr:from>
    <xdr:to>
      <xdr:col>11</xdr:col>
      <xdr:colOff>507675</xdr:colOff>
      <xdr:row>24</xdr:row>
      <xdr:rowOff>106363</xdr:rowOff>
    </xdr:to>
    <xdr:cxnSp macro="">
      <xdr:nvCxnSpPr>
        <xdr:cNvPr id="9" name="Straight Connector 8"/>
        <xdr:cNvCxnSpPr/>
      </xdr:nvCxnSpPr>
      <xdr:spPr>
        <a:xfrm>
          <a:off x="3038475" y="2771775"/>
          <a:ext cx="64102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66675</xdr:colOff>
      <xdr:row>24</xdr:row>
      <xdr:rowOff>104775</xdr:rowOff>
    </xdr:from>
    <xdr:to>
      <xdr:col>16</xdr:col>
      <xdr:colOff>507675</xdr:colOff>
      <xdr:row>24</xdr:row>
      <xdr:rowOff>106363</xdr:rowOff>
    </xdr:to>
    <xdr:cxnSp macro="">
      <xdr:nvCxnSpPr>
        <xdr:cNvPr id="10" name="Straight Connector 9"/>
        <xdr:cNvCxnSpPr/>
      </xdr:nvCxnSpPr>
      <xdr:spPr>
        <a:xfrm>
          <a:off x="3876675" y="2771775"/>
          <a:ext cx="64102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28</xdr:row>
      <xdr:rowOff>104775</xdr:rowOff>
    </xdr:from>
    <xdr:to>
      <xdr:col>6</xdr:col>
      <xdr:colOff>400050</xdr:colOff>
      <xdr:row>28</xdr:row>
      <xdr:rowOff>106363</xdr:rowOff>
    </xdr:to>
    <xdr:cxnSp macro="">
      <xdr:nvCxnSpPr>
        <xdr:cNvPr id="11" name="Straight Connector 10"/>
        <xdr:cNvCxnSpPr/>
      </xdr:nvCxnSpPr>
      <xdr:spPr>
        <a:xfrm>
          <a:off x="2505075" y="4514850"/>
          <a:ext cx="33337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28</xdr:row>
      <xdr:rowOff>104775</xdr:rowOff>
    </xdr:from>
    <xdr:to>
      <xdr:col>11</xdr:col>
      <xdr:colOff>507675</xdr:colOff>
      <xdr:row>28</xdr:row>
      <xdr:rowOff>106363</xdr:rowOff>
    </xdr:to>
    <xdr:cxnSp macro="">
      <xdr:nvCxnSpPr>
        <xdr:cNvPr id="12" name="Straight Connector 11"/>
        <xdr:cNvCxnSpPr/>
      </xdr:nvCxnSpPr>
      <xdr:spPr>
        <a:xfrm>
          <a:off x="3038475" y="4514850"/>
          <a:ext cx="64102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66675</xdr:colOff>
      <xdr:row>28</xdr:row>
      <xdr:rowOff>104775</xdr:rowOff>
    </xdr:from>
    <xdr:to>
      <xdr:col>16</xdr:col>
      <xdr:colOff>507675</xdr:colOff>
      <xdr:row>28</xdr:row>
      <xdr:rowOff>106363</xdr:rowOff>
    </xdr:to>
    <xdr:cxnSp macro="">
      <xdr:nvCxnSpPr>
        <xdr:cNvPr id="13" name="Straight Connector 12"/>
        <xdr:cNvCxnSpPr/>
      </xdr:nvCxnSpPr>
      <xdr:spPr>
        <a:xfrm>
          <a:off x="3876675" y="4514850"/>
          <a:ext cx="64102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38</xdr:row>
      <xdr:rowOff>85725</xdr:rowOff>
    </xdr:from>
    <xdr:to>
      <xdr:col>13</xdr:col>
      <xdr:colOff>59700</xdr:colOff>
      <xdr:row>38</xdr:row>
      <xdr:rowOff>87313</xdr:rowOff>
    </xdr:to>
    <xdr:cxnSp macro="">
      <xdr:nvCxnSpPr>
        <xdr:cNvPr id="15" name="Straight Connector 14"/>
        <xdr:cNvCxnSpPr/>
      </xdr:nvCxnSpPr>
      <xdr:spPr>
        <a:xfrm>
          <a:off x="3028950" y="6838950"/>
          <a:ext cx="936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42</xdr:row>
      <xdr:rowOff>85725</xdr:rowOff>
    </xdr:from>
    <xdr:to>
      <xdr:col>17</xdr:col>
      <xdr:colOff>142875</xdr:colOff>
      <xdr:row>42</xdr:row>
      <xdr:rowOff>87313</xdr:rowOff>
    </xdr:to>
    <xdr:cxnSp macro="">
      <xdr:nvCxnSpPr>
        <xdr:cNvPr id="17" name="Straight Connector 16"/>
        <xdr:cNvCxnSpPr/>
      </xdr:nvCxnSpPr>
      <xdr:spPr>
        <a:xfrm>
          <a:off x="3038475" y="7600950"/>
          <a:ext cx="17145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41</xdr:row>
      <xdr:rowOff>9525</xdr:rowOff>
    </xdr:from>
    <xdr:to>
      <xdr:col>11</xdr:col>
      <xdr:colOff>9525</xdr:colOff>
      <xdr:row>42</xdr:row>
      <xdr:rowOff>9525</xdr:rowOff>
    </xdr:to>
    <xdr:sp macro="" textlink="">
      <xdr:nvSpPr>
        <xdr:cNvPr id="18" name="Double Bracket 17"/>
        <xdr:cNvSpPr/>
      </xdr:nvSpPr>
      <xdr:spPr>
        <a:xfrm>
          <a:off x="3019425" y="7334250"/>
          <a:ext cx="542925" cy="190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41</xdr:row>
      <xdr:rowOff>19050</xdr:rowOff>
    </xdr:from>
    <xdr:to>
      <xdr:col>17</xdr:col>
      <xdr:colOff>171450</xdr:colOff>
      <xdr:row>41</xdr:row>
      <xdr:rowOff>171450</xdr:rowOff>
    </xdr:to>
    <xdr:sp macro="" textlink="">
      <xdr:nvSpPr>
        <xdr:cNvPr id="19" name="Double Bracket 18"/>
        <xdr:cNvSpPr/>
      </xdr:nvSpPr>
      <xdr:spPr>
        <a:xfrm>
          <a:off x="3724275" y="7343775"/>
          <a:ext cx="1057275" cy="1524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66675</xdr:colOff>
      <xdr:row>45</xdr:row>
      <xdr:rowOff>104775</xdr:rowOff>
    </xdr:from>
    <xdr:to>
      <xdr:col>5</xdr:col>
      <xdr:colOff>103800</xdr:colOff>
      <xdr:row>45</xdr:row>
      <xdr:rowOff>106363</xdr:rowOff>
    </xdr:to>
    <xdr:cxnSp macro="">
      <xdr:nvCxnSpPr>
        <xdr:cNvPr id="20" name="Straight Connector 19"/>
        <xdr:cNvCxnSpPr/>
      </xdr:nvCxnSpPr>
      <xdr:spPr>
        <a:xfrm>
          <a:off x="2505075" y="8191500"/>
          <a:ext cx="180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43</xdr:row>
      <xdr:rowOff>171450</xdr:rowOff>
    </xdr:from>
    <xdr:to>
      <xdr:col>5</xdr:col>
      <xdr:colOff>0</xdr:colOff>
      <xdr:row>45</xdr:row>
      <xdr:rowOff>28575</xdr:rowOff>
    </xdr:to>
    <xdr:grpSp>
      <xdr:nvGrpSpPr>
        <xdr:cNvPr id="21" name="Group 20"/>
        <xdr:cNvGrpSpPr/>
      </xdr:nvGrpSpPr>
      <xdr:grpSpPr>
        <a:xfrm>
          <a:off x="2449046" y="8587068"/>
          <a:ext cx="117101" cy="238125"/>
          <a:chOff x="4695825" y="14192250"/>
          <a:chExt cx="438150" cy="238125"/>
        </a:xfrm>
      </xdr:grpSpPr>
      <xdr:cxnSp macro="">
        <xdr:nvCxnSpPr>
          <xdr:cNvPr id="22" name="Straight Connector 21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22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Straight Connector 23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104775</xdr:colOff>
      <xdr:row>37</xdr:row>
      <xdr:rowOff>9525</xdr:rowOff>
    </xdr:from>
    <xdr:to>
      <xdr:col>13</xdr:col>
      <xdr:colOff>133350</xdr:colOff>
      <xdr:row>39</xdr:row>
      <xdr:rowOff>171450</xdr:rowOff>
    </xdr:to>
    <xdr:sp macro="" textlink="">
      <xdr:nvSpPr>
        <xdr:cNvPr id="26" name="Double Bracket 25"/>
        <xdr:cNvSpPr/>
      </xdr:nvSpPr>
      <xdr:spPr>
        <a:xfrm>
          <a:off x="2943225" y="6572250"/>
          <a:ext cx="1095375" cy="5429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11</xdr:col>
      <xdr:colOff>0</xdr:colOff>
      <xdr:row>8</xdr:row>
      <xdr:rowOff>57150</xdr:rowOff>
    </xdr:from>
    <xdr:to>
      <xdr:col>13</xdr:col>
      <xdr:colOff>76200</xdr:colOff>
      <xdr:row>10</xdr:row>
      <xdr:rowOff>142875</xdr:rowOff>
    </xdr:to>
    <xdr:sp macro="" textlink="">
      <xdr:nvSpPr>
        <xdr:cNvPr id="27" name="Down Arrow 26"/>
        <xdr:cNvSpPr/>
      </xdr:nvSpPr>
      <xdr:spPr>
        <a:xfrm>
          <a:off x="3552825" y="1581150"/>
          <a:ext cx="428625" cy="466725"/>
        </a:xfrm>
        <a:prstGeom prst="down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11</xdr:col>
      <xdr:colOff>0</xdr:colOff>
      <xdr:row>17</xdr:row>
      <xdr:rowOff>47625</xdr:rowOff>
    </xdr:from>
    <xdr:to>
      <xdr:col>13</xdr:col>
      <xdr:colOff>76200</xdr:colOff>
      <xdr:row>20</xdr:row>
      <xdr:rowOff>133350</xdr:rowOff>
    </xdr:to>
    <xdr:sp macro="" textlink="">
      <xdr:nvSpPr>
        <xdr:cNvPr id="28" name="Down Arrow 27"/>
        <xdr:cNvSpPr/>
      </xdr:nvSpPr>
      <xdr:spPr>
        <a:xfrm>
          <a:off x="3552825" y="3314700"/>
          <a:ext cx="428625" cy="657225"/>
        </a:xfrm>
        <a:prstGeom prst="down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15</xdr:col>
      <xdr:colOff>76199</xdr:colOff>
      <xdr:row>58</xdr:row>
      <xdr:rowOff>114300</xdr:rowOff>
    </xdr:from>
    <xdr:to>
      <xdr:col>21</xdr:col>
      <xdr:colOff>480074</xdr:colOff>
      <xdr:row>58</xdr:row>
      <xdr:rowOff>115888</xdr:rowOff>
    </xdr:to>
    <xdr:cxnSp macro="">
      <xdr:nvCxnSpPr>
        <xdr:cNvPr id="29" name="Straight Connector 28"/>
        <xdr:cNvCxnSpPr/>
      </xdr:nvCxnSpPr>
      <xdr:spPr>
        <a:xfrm>
          <a:off x="4686299" y="11134725"/>
          <a:ext cx="1404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58</xdr:row>
      <xdr:rowOff>0</xdr:rowOff>
    </xdr:from>
    <xdr:to>
      <xdr:col>10</xdr:col>
      <xdr:colOff>47625</xdr:colOff>
      <xdr:row>59</xdr:row>
      <xdr:rowOff>19050</xdr:rowOff>
    </xdr:to>
    <xdr:sp macro="" textlink="">
      <xdr:nvSpPr>
        <xdr:cNvPr id="30" name="Double Brace 29"/>
        <xdr:cNvSpPr/>
      </xdr:nvSpPr>
      <xdr:spPr>
        <a:xfrm>
          <a:off x="2838450" y="11020425"/>
          <a:ext cx="628650" cy="238125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10</xdr:col>
      <xdr:colOff>114301</xdr:colOff>
      <xdr:row>58</xdr:row>
      <xdr:rowOff>9525</xdr:rowOff>
    </xdr:from>
    <xdr:to>
      <xdr:col>13</xdr:col>
      <xdr:colOff>200025</xdr:colOff>
      <xdr:row>59</xdr:row>
      <xdr:rowOff>38100</xdr:rowOff>
    </xdr:to>
    <xdr:sp macro="" textlink="">
      <xdr:nvSpPr>
        <xdr:cNvPr id="31" name="Double Brace 30"/>
        <xdr:cNvSpPr/>
      </xdr:nvSpPr>
      <xdr:spPr>
        <a:xfrm>
          <a:off x="3533776" y="11029950"/>
          <a:ext cx="571499" cy="24765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15</xdr:col>
      <xdr:colOff>0</xdr:colOff>
      <xdr:row>57</xdr:row>
      <xdr:rowOff>0</xdr:rowOff>
    </xdr:from>
    <xdr:to>
      <xdr:col>21</xdr:col>
      <xdr:colOff>581025</xdr:colOff>
      <xdr:row>60</xdr:row>
      <xdr:rowOff>38100</xdr:rowOff>
    </xdr:to>
    <xdr:sp macro="" textlink="">
      <xdr:nvSpPr>
        <xdr:cNvPr id="32" name="Double Brace 31"/>
        <xdr:cNvSpPr/>
      </xdr:nvSpPr>
      <xdr:spPr>
        <a:xfrm>
          <a:off x="4610100" y="10829925"/>
          <a:ext cx="1581150" cy="638175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3</xdr:col>
      <xdr:colOff>561975</xdr:colOff>
      <xdr:row>57</xdr:row>
      <xdr:rowOff>19050</xdr:rowOff>
    </xdr:from>
    <xdr:to>
      <xdr:col>13</xdr:col>
      <xdr:colOff>466725</xdr:colOff>
      <xdr:row>60</xdr:row>
      <xdr:rowOff>47625</xdr:rowOff>
    </xdr:to>
    <xdr:sp macro="" textlink="">
      <xdr:nvSpPr>
        <xdr:cNvPr id="33" name="Double Brace 32"/>
        <xdr:cNvSpPr/>
      </xdr:nvSpPr>
      <xdr:spPr>
        <a:xfrm>
          <a:off x="2390775" y="10848975"/>
          <a:ext cx="1981200" cy="62865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4</xdr:col>
      <xdr:colOff>0</xdr:colOff>
      <xdr:row>63</xdr:row>
      <xdr:rowOff>171450</xdr:rowOff>
    </xdr:from>
    <xdr:to>
      <xdr:col>7</xdr:col>
      <xdr:colOff>95250</xdr:colOff>
      <xdr:row>67</xdr:row>
      <xdr:rowOff>38100</xdr:rowOff>
    </xdr:to>
    <xdr:sp macro="" textlink="">
      <xdr:nvSpPr>
        <xdr:cNvPr id="34" name="Double Bracket 33"/>
        <xdr:cNvSpPr/>
      </xdr:nvSpPr>
      <xdr:spPr>
        <a:xfrm>
          <a:off x="2438400" y="12172950"/>
          <a:ext cx="495300" cy="6286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9</xdr:col>
      <xdr:colOff>66674</xdr:colOff>
      <xdr:row>65</xdr:row>
      <xdr:rowOff>104775</xdr:rowOff>
    </xdr:from>
    <xdr:to>
      <xdr:col>13</xdr:col>
      <xdr:colOff>374024</xdr:colOff>
      <xdr:row>65</xdr:row>
      <xdr:rowOff>106363</xdr:rowOff>
    </xdr:to>
    <xdr:cxnSp macro="">
      <xdr:nvCxnSpPr>
        <xdr:cNvPr id="35" name="Straight Connector 34"/>
        <xdr:cNvCxnSpPr/>
      </xdr:nvCxnSpPr>
      <xdr:spPr>
        <a:xfrm>
          <a:off x="3343274" y="12487275"/>
          <a:ext cx="936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65</xdr:row>
      <xdr:rowOff>104775</xdr:rowOff>
    </xdr:from>
    <xdr:to>
      <xdr:col>6</xdr:col>
      <xdr:colOff>457200</xdr:colOff>
      <xdr:row>65</xdr:row>
      <xdr:rowOff>106363</xdr:rowOff>
    </xdr:to>
    <xdr:cxnSp macro="">
      <xdr:nvCxnSpPr>
        <xdr:cNvPr id="36" name="Straight Connector 35"/>
        <xdr:cNvCxnSpPr/>
      </xdr:nvCxnSpPr>
      <xdr:spPr>
        <a:xfrm>
          <a:off x="6267450" y="24117300"/>
          <a:ext cx="3048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63</xdr:row>
      <xdr:rowOff>152400</xdr:rowOff>
    </xdr:from>
    <xdr:to>
      <xdr:col>10</xdr:col>
      <xdr:colOff>0</xdr:colOff>
      <xdr:row>65</xdr:row>
      <xdr:rowOff>9525</xdr:rowOff>
    </xdr:to>
    <xdr:grpSp>
      <xdr:nvGrpSpPr>
        <xdr:cNvPr id="37" name="Group 36"/>
        <xdr:cNvGrpSpPr/>
      </xdr:nvGrpSpPr>
      <xdr:grpSpPr>
        <a:xfrm>
          <a:off x="3308537" y="12445253"/>
          <a:ext cx="98051" cy="238125"/>
          <a:chOff x="4695825" y="14192250"/>
          <a:chExt cx="438150" cy="238125"/>
        </a:xfrm>
      </xdr:grpSpPr>
      <xdr:cxnSp macro="">
        <xdr:nvCxnSpPr>
          <xdr:cNvPr id="38" name="Straight Connector 37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Straight Connector 38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Straight Connector 39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19050</xdr:colOff>
      <xdr:row>65</xdr:row>
      <xdr:rowOff>104775</xdr:rowOff>
    </xdr:from>
    <xdr:to>
      <xdr:col>7</xdr:col>
      <xdr:colOff>38100</xdr:colOff>
      <xdr:row>65</xdr:row>
      <xdr:rowOff>106363</xdr:rowOff>
    </xdr:to>
    <xdr:cxnSp macro="">
      <xdr:nvCxnSpPr>
        <xdr:cNvPr id="42" name="Straight Connector 41"/>
        <xdr:cNvCxnSpPr/>
      </xdr:nvCxnSpPr>
      <xdr:spPr>
        <a:xfrm>
          <a:off x="2733675" y="12487275"/>
          <a:ext cx="1428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3361</xdr:colOff>
      <xdr:row>68</xdr:row>
      <xdr:rowOff>0</xdr:rowOff>
    </xdr:from>
    <xdr:to>
      <xdr:col>9</xdr:col>
      <xdr:colOff>142874</xdr:colOff>
      <xdr:row>71</xdr:row>
      <xdr:rowOff>38100</xdr:rowOff>
    </xdr:to>
    <xdr:sp macro="" textlink="">
      <xdr:nvSpPr>
        <xdr:cNvPr id="50" name="Double Bracket 49"/>
        <xdr:cNvSpPr/>
      </xdr:nvSpPr>
      <xdr:spPr>
        <a:xfrm>
          <a:off x="2441761" y="13315950"/>
          <a:ext cx="977713" cy="6286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11</xdr:col>
      <xdr:colOff>47624</xdr:colOff>
      <xdr:row>69</xdr:row>
      <xdr:rowOff>104775</xdr:rowOff>
    </xdr:from>
    <xdr:to>
      <xdr:col>15</xdr:col>
      <xdr:colOff>106349</xdr:colOff>
      <xdr:row>69</xdr:row>
      <xdr:rowOff>106363</xdr:rowOff>
    </xdr:to>
    <xdr:cxnSp macro="">
      <xdr:nvCxnSpPr>
        <xdr:cNvPr id="51" name="Straight Connector 50"/>
        <xdr:cNvCxnSpPr/>
      </xdr:nvCxnSpPr>
      <xdr:spPr>
        <a:xfrm>
          <a:off x="3600449" y="13630275"/>
          <a:ext cx="1116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68</xdr:row>
      <xdr:rowOff>0</xdr:rowOff>
    </xdr:from>
    <xdr:to>
      <xdr:col>12</xdr:col>
      <xdr:colOff>0</xdr:colOff>
      <xdr:row>69</xdr:row>
      <xdr:rowOff>9525</xdr:rowOff>
    </xdr:to>
    <xdr:grpSp>
      <xdr:nvGrpSpPr>
        <xdr:cNvPr id="52" name="Group 51"/>
        <xdr:cNvGrpSpPr/>
      </xdr:nvGrpSpPr>
      <xdr:grpSpPr>
        <a:xfrm>
          <a:off x="3588684" y="13245353"/>
          <a:ext cx="120463" cy="200025"/>
          <a:chOff x="4695825" y="14192250"/>
          <a:chExt cx="438150" cy="238125"/>
        </a:xfrm>
      </xdr:grpSpPr>
      <xdr:cxnSp macro="">
        <xdr:nvCxnSpPr>
          <xdr:cNvPr id="53" name="Straight Connector 52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Straight Connector 53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Straight Connector 54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123824</xdr:colOff>
      <xdr:row>69</xdr:row>
      <xdr:rowOff>104775</xdr:rowOff>
    </xdr:from>
    <xdr:to>
      <xdr:col>8</xdr:col>
      <xdr:colOff>251024</xdr:colOff>
      <xdr:row>69</xdr:row>
      <xdr:rowOff>106363</xdr:rowOff>
    </xdr:to>
    <xdr:cxnSp macro="">
      <xdr:nvCxnSpPr>
        <xdr:cNvPr id="56" name="Straight Connector 55"/>
        <xdr:cNvCxnSpPr/>
      </xdr:nvCxnSpPr>
      <xdr:spPr>
        <a:xfrm>
          <a:off x="2838449" y="13630275"/>
          <a:ext cx="432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73</xdr:row>
      <xdr:rowOff>95250</xdr:rowOff>
    </xdr:from>
    <xdr:to>
      <xdr:col>4</xdr:col>
      <xdr:colOff>514350</xdr:colOff>
      <xdr:row>73</xdr:row>
      <xdr:rowOff>96838</xdr:rowOff>
    </xdr:to>
    <xdr:cxnSp macro="">
      <xdr:nvCxnSpPr>
        <xdr:cNvPr id="57" name="Straight Connector 56"/>
        <xdr:cNvCxnSpPr/>
      </xdr:nvCxnSpPr>
      <xdr:spPr>
        <a:xfrm>
          <a:off x="4362450" y="28679775"/>
          <a:ext cx="2286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72</xdr:row>
      <xdr:rowOff>142875</xdr:rowOff>
    </xdr:from>
    <xdr:to>
      <xdr:col>8</xdr:col>
      <xdr:colOff>180975</xdr:colOff>
      <xdr:row>74</xdr:row>
      <xdr:rowOff>0</xdr:rowOff>
    </xdr:to>
    <xdr:grpSp>
      <xdr:nvGrpSpPr>
        <xdr:cNvPr id="58" name="Group 57"/>
        <xdr:cNvGrpSpPr/>
      </xdr:nvGrpSpPr>
      <xdr:grpSpPr>
        <a:xfrm>
          <a:off x="2985807" y="14150228"/>
          <a:ext cx="198344" cy="238125"/>
          <a:chOff x="4695825" y="14192250"/>
          <a:chExt cx="438150" cy="238125"/>
        </a:xfrm>
      </xdr:grpSpPr>
      <xdr:cxnSp macro="">
        <xdr:nvCxnSpPr>
          <xdr:cNvPr id="59" name="Straight Connector 58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Straight Connector 59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Straight Connector 60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73</xdr:row>
      <xdr:rowOff>95250</xdr:rowOff>
    </xdr:from>
    <xdr:to>
      <xdr:col>5</xdr:col>
      <xdr:colOff>19050</xdr:colOff>
      <xdr:row>73</xdr:row>
      <xdr:rowOff>96838</xdr:rowOff>
    </xdr:to>
    <xdr:cxnSp macro="">
      <xdr:nvCxnSpPr>
        <xdr:cNvPr id="63" name="Straight Connector 62"/>
        <xdr:cNvCxnSpPr/>
      </xdr:nvCxnSpPr>
      <xdr:spPr>
        <a:xfrm>
          <a:off x="2438400" y="14573250"/>
          <a:ext cx="16192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66675</xdr:rowOff>
    </xdr:from>
    <xdr:to>
      <xdr:col>13</xdr:col>
      <xdr:colOff>76200</xdr:colOff>
      <xdr:row>33</xdr:row>
      <xdr:rowOff>152400</xdr:rowOff>
    </xdr:to>
    <xdr:sp macro="" textlink="">
      <xdr:nvSpPr>
        <xdr:cNvPr id="64" name="Down Arrow 63"/>
        <xdr:cNvSpPr/>
      </xdr:nvSpPr>
      <xdr:spPr>
        <a:xfrm>
          <a:off x="3552825" y="5924550"/>
          <a:ext cx="428625" cy="657225"/>
        </a:xfrm>
        <a:prstGeom prst="down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11</xdr:col>
      <xdr:colOff>0</xdr:colOff>
      <xdr:row>51</xdr:row>
      <xdr:rowOff>57150</xdr:rowOff>
    </xdr:from>
    <xdr:to>
      <xdr:col>13</xdr:col>
      <xdr:colOff>76200</xdr:colOff>
      <xdr:row>54</xdr:row>
      <xdr:rowOff>142875</xdr:rowOff>
    </xdr:to>
    <xdr:sp macro="" textlink="">
      <xdr:nvSpPr>
        <xdr:cNvPr id="65" name="Down Arrow 64"/>
        <xdr:cNvSpPr/>
      </xdr:nvSpPr>
      <xdr:spPr>
        <a:xfrm>
          <a:off x="3552825" y="9934575"/>
          <a:ext cx="428625" cy="657225"/>
        </a:xfrm>
        <a:prstGeom prst="down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21</xdr:col>
      <xdr:colOff>123828</xdr:colOff>
      <xdr:row>88</xdr:row>
      <xdr:rowOff>38100</xdr:rowOff>
    </xdr:from>
    <xdr:to>
      <xdr:col>21</xdr:col>
      <xdr:colOff>200028</xdr:colOff>
      <xdr:row>88</xdr:row>
      <xdr:rowOff>142875</xdr:rowOff>
    </xdr:to>
    <xdr:cxnSp macro="">
      <xdr:nvCxnSpPr>
        <xdr:cNvPr id="66" name="Straight Connector 65"/>
        <xdr:cNvCxnSpPr/>
      </xdr:nvCxnSpPr>
      <xdr:spPr>
        <a:xfrm rot="5400000" flipH="1" flipV="1">
          <a:off x="5719765" y="17073563"/>
          <a:ext cx="104775" cy="762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88</xdr:row>
      <xdr:rowOff>9526</xdr:rowOff>
    </xdr:from>
    <xdr:to>
      <xdr:col>13</xdr:col>
      <xdr:colOff>0</xdr:colOff>
      <xdr:row>88</xdr:row>
      <xdr:rowOff>180976</xdr:rowOff>
    </xdr:to>
    <xdr:sp macro="" textlink="">
      <xdr:nvSpPr>
        <xdr:cNvPr id="67" name="Double Bracket 66"/>
        <xdr:cNvSpPr/>
      </xdr:nvSpPr>
      <xdr:spPr>
        <a:xfrm>
          <a:off x="3362325" y="17030701"/>
          <a:ext cx="542925" cy="1714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13</xdr:col>
      <xdr:colOff>504825</xdr:colOff>
      <xdr:row>87</xdr:row>
      <xdr:rowOff>171450</xdr:rowOff>
    </xdr:from>
    <xdr:to>
      <xdr:col>21</xdr:col>
      <xdr:colOff>57149</xdr:colOff>
      <xdr:row>89</xdr:row>
      <xdr:rowOff>0</xdr:rowOff>
    </xdr:to>
    <xdr:sp macro="" textlink="">
      <xdr:nvSpPr>
        <xdr:cNvPr id="68" name="Double Bracket 67"/>
        <xdr:cNvSpPr/>
      </xdr:nvSpPr>
      <xdr:spPr>
        <a:xfrm>
          <a:off x="4410075" y="17002125"/>
          <a:ext cx="1257299" cy="2095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13</xdr:col>
      <xdr:colOff>76200</xdr:colOff>
      <xdr:row>91</xdr:row>
      <xdr:rowOff>104775</xdr:rowOff>
    </xdr:from>
    <xdr:to>
      <xdr:col>17</xdr:col>
      <xdr:colOff>38550</xdr:colOff>
      <xdr:row>91</xdr:row>
      <xdr:rowOff>106363</xdr:rowOff>
    </xdr:to>
    <xdr:cxnSp macro="">
      <xdr:nvCxnSpPr>
        <xdr:cNvPr id="69" name="Straight Connector 68"/>
        <xdr:cNvCxnSpPr/>
      </xdr:nvCxnSpPr>
      <xdr:spPr>
        <a:xfrm>
          <a:off x="3981450" y="17697450"/>
          <a:ext cx="972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94</xdr:row>
      <xdr:rowOff>85725</xdr:rowOff>
    </xdr:from>
    <xdr:to>
      <xdr:col>10</xdr:col>
      <xdr:colOff>171450</xdr:colOff>
      <xdr:row>94</xdr:row>
      <xdr:rowOff>87313</xdr:rowOff>
    </xdr:to>
    <xdr:cxnSp macro="">
      <xdr:nvCxnSpPr>
        <xdr:cNvPr id="70" name="Straight Connector 69"/>
        <xdr:cNvCxnSpPr/>
      </xdr:nvCxnSpPr>
      <xdr:spPr>
        <a:xfrm>
          <a:off x="857250" y="39585900"/>
          <a:ext cx="23907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66675</xdr:colOff>
      <xdr:row>96</xdr:row>
      <xdr:rowOff>161925</xdr:rowOff>
    </xdr:from>
    <xdr:to>
      <xdr:col>21</xdr:col>
      <xdr:colOff>123825</xdr:colOff>
      <xdr:row>98</xdr:row>
      <xdr:rowOff>9526</xdr:rowOff>
    </xdr:to>
    <xdr:sp macro="" textlink="">
      <xdr:nvSpPr>
        <xdr:cNvPr id="77" name="Double Bracket 76"/>
        <xdr:cNvSpPr/>
      </xdr:nvSpPr>
      <xdr:spPr>
        <a:xfrm>
          <a:off x="3971925" y="18764250"/>
          <a:ext cx="1990725" cy="228601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5</xdr:col>
      <xdr:colOff>114299</xdr:colOff>
      <xdr:row>98</xdr:row>
      <xdr:rowOff>76200</xdr:rowOff>
    </xdr:from>
    <xdr:to>
      <xdr:col>21</xdr:col>
      <xdr:colOff>456749</xdr:colOff>
      <xdr:row>98</xdr:row>
      <xdr:rowOff>77788</xdr:rowOff>
    </xdr:to>
    <xdr:cxnSp macro="">
      <xdr:nvCxnSpPr>
        <xdr:cNvPr id="78" name="Straight Connector 77"/>
        <xdr:cNvCxnSpPr/>
      </xdr:nvCxnSpPr>
      <xdr:spPr>
        <a:xfrm>
          <a:off x="2695574" y="19059525"/>
          <a:ext cx="3600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180974</xdr:colOff>
      <xdr:row>99</xdr:row>
      <xdr:rowOff>9525</xdr:rowOff>
    </xdr:from>
    <xdr:to>
      <xdr:col>16</xdr:col>
      <xdr:colOff>333375</xdr:colOff>
      <xdr:row>100</xdr:row>
      <xdr:rowOff>28575</xdr:rowOff>
    </xdr:to>
    <xdr:sp macro="" textlink="">
      <xdr:nvSpPr>
        <xdr:cNvPr id="79" name="Double Bracket 78"/>
        <xdr:cNvSpPr/>
      </xdr:nvSpPr>
      <xdr:spPr>
        <a:xfrm>
          <a:off x="3905249" y="19183350"/>
          <a:ext cx="1171576" cy="2381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9</xdr:col>
      <xdr:colOff>123825</xdr:colOff>
      <xdr:row>102</xdr:row>
      <xdr:rowOff>95250</xdr:rowOff>
    </xdr:from>
    <xdr:to>
      <xdr:col>13</xdr:col>
      <xdr:colOff>359175</xdr:colOff>
      <xdr:row>102</xdr:row>
      <xdr:rowOff>96838</xdr:rowOff>
    </xdr:to>
    <xdr:cxnSp macro="">
      <xdr:nvCxnSpPr>
        <xdr:cNvPr id="80" name="Straight Connector 79"/>
        <xdr:cNvCxnSpPr/>
      </xdr:nvCxnSpPr>
      <xdr:spPr>
        <a:xfrm>
          <a:off x="3400425" y="19869150"/>
          <a:ext cx="864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142874</xdr:colOff>
      <xdr:row>101</xdr:row>
      <xdr:rowOff>0</xdr:rowOff>
    </xdr:from>
    <xdr:to>
      <xdr:col>13</xdr:col>
      <xdr:colOff>514349</xdr:colOff>
      <xdr:row>104</xdr:row>
      <xdr:rowOff>19050</xdr:rowOff>
    </xdr:to>
    <xdr:sp macro="" textlink="">
      <xdr:nvSpPr>
        <xdr:cNvPr id="81" name="Double Bracket 80"/>
        <xdr:cNvSpPr/>
      </xdr:nvSpPr>
      <xdr:spPr>
        <a:xfrm>
          <a:off x="2581274" y="19583400"/>
          <a:ext cx="1838325" cy="5905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6</xdr:col>
      <xdr:colOff>57150</xdr:colOff>
      <xdr:row>100</xdr:row>
      <xdr:rowOff>171449</xdr:rowOff>
    </xdr:from>
    <xdr:to>
      <xdr:col>13</xdr:col>
      <xdr:colOff>333375</xdr:colOff>
      <xdr:row>104</xdr:row>
      <xdr:rowOff>28574</xdr:rowOff>
    </xdr:to>
    <xdr:grpSp>
      <xdr:nvGrpSpPr>
        <xdr:cNvPr id="82" name="Group 81"/>
        <xdr:cNvGrpSpPr/>
      </xdr:nvGrpSpPr>
      <xdr:grpSpPr>
        <a:xfrm>
          <a:off x="2757768" y="19636067"/>
          <a:ext cx="1464048" cy="619125"/>
          <a:chOff x="1552574" y="42043350"/>
          <a:chExt cx="2105026" cy="552450"/>
        </a:xfrm>
      </xdr:grpSpPr>
      <xdr:cxnSp macro="">
        <xdr:nvCxnSpPr>
          <xdr:cNvPr id="83" name="Straight Connector 82"/>
          <xdr:cNvCxnSpPr/>
        </xdr:nvCxnSpPr>
        <xdr:spPr>
          <a:xfrm rot="16200000" flipH="1">
            <a:off x="1481137" y="42476737"/>
            <a:ext cx="190500" cy="476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Straight Connector 83"/>
          <xdr:cNvCxnSpPr/>
        </xdr:nvCxnSpPr>
        <xdr:spPr>
          <a:xfrm rot="5400000" flipH="1" flipV="1">
            <a:off x="1376363" y="42276713"/>
            <a:ext cx="542925" cy="9525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Straight Connector 84"/>
          <xdr:cNvCxnSpPr/>
        </xdr:nvCxnSpPr>
        <xdr:spPr>
          <a:xfrm>
            <a:off x="1695450" y="42043350"/>
            <a:ext cx="19621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105</xdr:row>
      <xdr:rowOff>9525</xdr:rowOff>
    </xdr:from>
    <xdr:to>
      <xdr:col>15</xdr:col>
      <xdr:colOff>9525</xdr:colOff>
      <xdr:row>106</xdr:row>
      <xdr:rowOff>57150</xdr:rowOff>
    </xdr:to>
    <xdr:sp macro="" textlink="">
      <xdr:nvSpPr>
        <xdr:cNvPr id="86" name="Double Bracket 85"/>
        <xdr:cNvSpPr/>
      </xdr:nvSpPr>
      <xdr:spPr>
        <a:xfrm>
          <a:off x="2581275" y="20354925"/>
          <a:ext cx="2038350" cy="2381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5</xdr:col>
      <xdr:colOff>9524</xdr:colOff>
      <xdr:row>106</xdr:row>
      <xdr:rowOff>95250</xdr:rowOff>
    </xdr:from>
    <xdr:to>
      <xdr:col>15</xdr:col>
      <xdr:colOff>32699</xdr:colOff>
      <xdr:row>106</xdr:row>
      <xdr:rowOff>96838</xdr:rowOff>
    </xdr:to>
    <xdr:cxnSp macro="">
      <xdr:nvCxnSpPr>
        <xdr:cNvPr id="87" name="Straight Connector 86"/>
        <xdr:cNvCxnSpPr/>
      </xdr:nvCxnSpPr>
      <xdr:spPr>
        <a:xfrm>
          <a:off x="2590799" y="20631150"/>
          <a:ext cx="2052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133349</xdr:colOff>
      <xdr:row>113</xdr:row>
      <xdr:rowOff>76200</xdr:rowOff>
    </xdr:from>
    <xdr:to>
      <xdr:col>13</xdr:col>
      <xdr:colOff>285374</xdr:colOff>
      <xdr:row>113</xdr:row>
      <xdr:rowOff>77788</xdr:rowOff>
    </xdr:to>
    <xdr:cxnSp macro="">
      <xdr:nvCxnSpPr>
        <xdr:cNvPr id="88" name="Straight Connector 87"/>
        <xdr:cNvCxnSpPr/>
      </xdr:nvCxnSpPr>
      <xdr:spPr>
        <a:xfrm>
          <a:off x="2714624" y="21945600"/>
          <a:ext cx="1476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76199</xdr:colOff>
      <xdr:row>120</xdr:row>
      <xdr:rowOff>76200</xdr:rowOff>
    </xdr:from>
    <xdr:to>
      <xdr:col>13</xdr:col>
      <xdr:colOff>1574</xdr:colOff>
      <xdr:row>120</xdr:row>
      <xdr:rowOff>77788</xdr:rowOff>
    </xdr:to>
    <xdr:cxnSp macro="">
      <xdr:nvCxnSpPr>
        <xdr:cNvPr id="89" name="Straight Connector 88"/>
        <xdr:cNvCxnSpPr/>
      </xdr:nvCxnSpPr>
      <xdr:spPr>
        <a:xfrm>
          <a:off x="2790824" y="23279100"/>
          <a:ext cx="1116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105</xdr:row>
      <xdr:rowOff>114300</xdr:rowOff>
    </xdr:from>
    <xdr:to>
      <xdr:col>16</xdr:col>
      <xdr:colOff>285750</xdr:colOff>
      <xdr:row>121</xdr:row>
      <xdr:rowOff>38100</xdr:rowOff>
    </xdr:to>
    <xdr:sp macro="" textlink="">
      <xdr:nvSpPr>
        <xdr:cNvPr id="94" name="Right Brace 93"/>
        <xdr:cNvSpPr/>
      </xdr:nvSpPr>
      <xdr:spPr>
        <a:xfrm>
          <a:off x="4857750" y="20459700"/>
          <a:ext cx="171450" cy="29718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114300</xdr:colOff>
      <xdr:row>126</xdr:row>
      <xdr:rowOff>85725</xdr:rowOff>
    </xdr:from>
    <xdr:to>
      <xdr:col>12</xdr:col>
      <xdr:colOff>561975</xdr:colOff>
      <xdr:row>126</xdr:row>
      <xdr:rowOff>87313</xdr:rowOff>
    </xdr:to>
    <xdr:cxnSp macro="">
      <xdr:nvCxnSpPr>
        <xdr:cNvPr id="95" name="Straight Connector 94"/>
        <xdr:cNvCxnSpPr/>
      </xdr:nvCxnSpPr>
      <xdr:spPr>
        <a:xfrm>
          <a:off x="876300" y="54778275"/>
          <a:ext cx="37623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95250</xdr:colOff>
      <xdr:row>125</xdr:row>
      <xdr:rowOff>123825</xdr:rowOff>
    </xdr:from>
    <xdr:to>
      <xdr:col>16</xdr:col>
      <xdr:colOff>276225</xdr:colOff>
      <xdr:row>131</xdr:row>
      <xdr:rowOff>123825</xdr:rowOff>
    </xdr:to>
    <xdr:sp macro="" textlink="">
      <xdr:nvSpPr>
        <xdr:cNvPr id="96" name="Right Brace 95"/>
        <xdr:cNvSpPr/>
      </xdr:nvSpPr>
      <xdr:spPr>
        <a:xfrm>
          <a:off x="4838700" y="24279225"/>
          <a:ext cx="180975" cy="11715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78</xdr:row>
      <xdr:rowOff>66675</xdr:rowOff>
    </xdr:from>
    <xdr:to>
      <xdr:col>13</xdr:col>
      <xdr:colOff>76200</xdr:colOff>
      <xdr:row>81</xdr:row>
      <xdr:rowOff>152400</xdr:rowOff>
    </xdr:to>
    <xdr:sp macro="" textlink="">
      <xdr:nvSpPr>
        <xdr:cNvPr id="97" name="Down Arrow 96"/>
        <xdr:cNvSpPr/>
      </xdr:nvSpPr>
      <xdr:spPr>
        <a:xfrm>
          <a:off x="3552825" y="15182850"/>
          <a:ext cx="428625" cy="657225"/>
        </a:xfrm>
        <a:prstGeom prst="down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233082</xdr:colOff>
      <xdr:row>141</xdr:row>
      <xdr:rowOff>11206</xdr:rowOff>
    </xdr:from>
    <xdr:to>
      <xdr:col>2</xdr:col>
      <xdr:colOff>378759</xdr:colOff>
      <xdr:row>141</xdr:row>
      <xdr:rowOff>12794</xdr:rowOff>
    </xdr:to>
    <xdr:cxnSp macro="">
      <xdr:nvCxnSpPr>
        <xdr:cNvPr id="98" name="Straight Connector 97"/>
        <xdr:cNvCxnSpPr/>
      </xdr:nvCxnSpPr>
      <xdr:spPr>
        <a:xfrm>
          <a:off x="1452282" y="26881231"/>
          <a:ext cx="14567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233082</xdr:colOff>
      <xdr:row>143</xdr:row>
      <xdr:rowOff>11206</xdr:rowOff>
    </xdr:from>
    <xdr:to>
      <xdr:col>6</xdr:col>
      <xdr:colOff>378759</xdr:colOff>
      <xdr:row>143</xdr:row>
      <xdr:rowOff>12794</xdr:rowOff>
    </xdr:to>
    <xdr:cxnSp macro="">
      <xdr:nvCxnSpPr>
        <xdr:cNvPr id="99" name="Straight Connector 98"/>
        <xdr:cNvCxnSpPr/>
      </xdr:nvCxnSpPr>
      <xdr:spPr>
        <a:xfrm>
          <a:off x="1452282" y="26881231"/>
          <a:ext cx="14567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233082</xdr:colOff>
      <xdr:row>143</xdr:row>
      <xdr:rowOff>11206</xdr:rowOff>
    </xdr:from>
    <xdr:to>
      <xdr:col>7</xdr:col>
      <xdr:colOff>378759</xdr:colOff>
      <xdr:row>143</xdr:row>
      <xdr:rowOff>12794</xdr:rowOff>
    </xdr:to>
    <xdr:cxnSp macro="">
      <xdr:nvCxnSpPr>
        <xdr:cNvPr id="100" name="Straight Connector 99"/>
        <xdr:cNvCxnSpPr/>
      </xdr:nvCxnSpPr>
      <xdr:spPr>
        <a:xfrm>
          <a:off x="1452282" y="26881231"/>
          <a:ext cx="14567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233082</xdr:colOff>
      <xdr:row>143</xdr:row>
      <xdr:rowOff>11206</xdr:rowOff>
    </xdr:from>
    <xdr:to>
      <xdr:col>6</xdr:col>
      <xdr:colOff>378759</xdr:colOff>
      <xdr:row>143</xdr:row>
      <xdr:rowOff>12794</xdr:rowOff>
    </xdr:to>
    <xdr:cxnSp macro="">
      <xdr:nvCxnSpPr>
        <xdr:cNvPr id="102" name="Straight Connector 101"/>
        <xdr:cNvCxnSpPr/>
      </xdr:nvCxnSpPr>
      <xdr:spPr>
        <a:xfrm>
          <a:off x="1452282" y="26881231"/>
          <a:ext cx="14567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80682</xdr:colOff>
      <xdr:row>143</xdr:row>
      <xdr:rowOff>11206</xdr:rowOff>
    </xdr:from>
    <xdr:to>
      <xdr:col>8</xdr:col>
      <xdr:colOff>45384</xdr:colOff>
      <xdr:row>143</xdr:row>
      <xdr:rowOff>12794</xdr:rowOff>
    </xdr:to>
    <xdr:cxnSp macro="">
      <xdr:nvCxnSpPr>
        <xdr:cNvPr id="103" name="Straight Connector 102"/>
        <xdr:cNvCxnSpPr/>
      </xdr:nvCxnSpPr>
      <xdr:spPr>
        <a:xfrm>
          <a:off x="2919132" y="27262231"/>
          <a:ext cx="14567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133</xdr:row>
      <xdr:rowOff>57150</xdr:rowOff>
    </xdr:from>
    <xdr:to>
      <xdr:col>13</xdr:col>
      <xdr:colOff>76200</xdr:colOff>
      <xdr:row>136</xdr:row>
      <xdr:rowOff>142875</xdr:rowOff>
    </xdr:to>
    <xdr:sp macro="" textlink="">
      <xdr:nvSpPr>
        <xdr:cNvPr id="104" name="Down Arrow 103"/>
        <xdr:cNvSpPr/>
      </xdr:nvSpPr>
      <xdr:spPr>
        <a:xfrm>
          <a:off x="3552825" y="25784175"/>
          <a:ext cx="428625" cy="657225"/>
        </a:xfrm>
        <a:prstGeom prst="down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20</xdr:row>
      <xdr:rowOff>104775</xdr:rowOff>
    </xdr:from>
    <xdr:to>
      <xdr:col>4</xdr:col>
      <xdr:colOff>400050</xdr:colOff>
      <xdr:row>20</xdr:row>
      <xdr:rowOff>106363</xdr:rowOff>
    </xdr:to>
    <xdr:cxnSp macro="">
      <xdr:nvCxnSpPr>
        <xdr:cNvPr id="3" name="Straight Connector 2"/>
        <xdr:cNvCxnSpPr/>
      </xdr:nvCxnSpPr>
      <xdr:spPr>
        <a:xfrm>
          <a:off x="828675" y="3943350"/>
          <a:ext cx="12763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</xdr:colOff>
      <xdr:row>20</xdr:row>
      <xdr:rowOff>104775</xdr:rowOff>
    </xdr:from>
    <xdr:to>
      <xdr:col>9</xdr:col>
      <xdr:colOff>507675</xdr:colOff>
      <xdr:row>20</xdr:row>
      <xdr:rowOff>106363</xdr:rowOff>
    </xdr:to>
    <xdr:cxnSp macro="">
      <xdr:nvCxnSpPr>
        <xdr:cNvPr id="4" name="Straight Connector 3"/>
        <xdr:cNvCxnSpPr/>
      </xdr:nvCxnSpPr>
      <xdr:spPr>
        <a:xfrm>
          <a:off x="2647950" y="3943350"/>
          <a:ext cx="184117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24</xdr:row>
      <xdr:rowOff>104775</xdr:rowOff>
    </xdr:from>
    <xdr:to>
      <xdr:col>4</xdr:col>
      <xdr:colOff>400050</xdr:colOff>
      <xdr:row>24</xdr:row>
      <xdr:rowOff>106363</xdr:rowOff>
    </xdr:to>
    <xdr:cxnSp macro="">
      <xdr:nvCxnSpPr>
        <xdr:cNvPr id="5" name="Straight Connector 4"/>
        <xdr:cNvCxnSpPr/>
      </xdr:nvCxnSpPr>
      <xdr:spPr>
        <a:xfrm>
          <a:off x="828675" y="4733925"/>
          <a:ext cx="12763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</xdr:colOff>
      <xdr:row>24</xdr:row>
      <xdr:rowOff>104775</xdr:rowOff>
    </xdr:from>
    <xdr:to>
      <xdr:col>9</xdr:col>
      <xdr:colOff>507675</xdr:colOff>
      <xdr:row>24</xdr:row>
      <xdr:rowOff>106363</xdr:rowOff>
    </xdr:to>
    <xdr:cxnSp macro="">
      <xdr:nvCxnSpPr>
        <xdr:cNvPr id="6" name="Straight Connector 5"/>
        <xdr:cNvCxnSpPr/>
      </xdr:nvCxnSpPr>
      <xdr:spPr>
        <a:xfrm>
          <a:off x="2647950" y="4733925"/>
          <a:ext cx="184117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32</xdr:row>
      <xdr:rowOff>104775</xdr:rowOff>
    </xdr:from>
    <xdr:to>
      <xdr:col>4</xdr:col>
      <xdr:colOff>400050</xdr:colOff>
      <xdr:row>32</xdr:row>
      <xdr:rowOff>106363</xdr:rowOff>
    </xdr:to>
    <xdr:cxnSp macro="">
      <xdr:nvCxnSpPr>
        <xdr:cNvPr id="7" name="Straight Connector 6"/>
        <xdr:cNvCxnSpPr/>
      </xdr:nvCxnSpPr>
      <xdr:spPr>
        <a:xfrm>
          <a:off x="828675" y="6286500"/>
          <a:ext cx="12763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</xdr:colOff>
      <xdr:row>32</xdr:row>
      <xdr:rowOff>104775</xdr:rowOff>
    </xdr:from>
    <xdr:to>
      <xdr:col>9</xdr:col>
      <xdr:colOff>507675</xdr:colOff>
      <xdr:row>32</xdr:row>
      <xdr:rowOff>106363</xdr:rowOff>
    </xdr:to>
    <xdr:cxnSp macro="">
      <xdr:nvCxnSpPr>
        <xdr:cNvPr id="8" name="Straight Connector 7"/>
        <xdr:cNvCxnSpPr/>
      </xdr:nvCxnSpPr>
      <xdr:spPr>
        <a:xfrm>
          <a:off x="2647950" y="6286500"/>
          <a:ext cx="184117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36</xdr:row>
      <xdr:rowOff>104775</xdr:rowOff>
    </xdr:from>
    <xdr:to>
      <xdr:col>4</xdr:col>
      <xdr:colOff>400050</xdr:colOff>
      <xdr:row>36</xdr:row>
      <xdr:rowOff>106363</xdr:rowOff>
    </xdr:to>
    <xdr:cxnSp macro="">
      <xdr:nvCxnSpPr>
        <xdr:cNvPr id="9" name="Straight Connector 8"/>
        <xdr:cNvCxnSpPr/>
      </xdr:nvCxnSpPr>
      <xdr:spPr>
        <a:xfrm>
          <a:off x="828675" y="7077075"/>
          <a:ext cx="12763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</xdr:colOff>
      <xdr:row>36</xdr:row>
      <xdr:rowOff>104775</xdr:rowOff>
    </xdr:from>
    <xdr:to>
      <xdr:col>9</xdr:col>
      <xdr:colOff>507675</xdr:colOff>
      <xdr:row>36</xdr:row>
      <xdr:rowOff>106363</xdr:rowOff>
    </xdr:to>
    <xdr:cxnSp macro="">
      <xdr:nvCxnSpPr>
        <xdr:cNvPr id="10" name="Straight Connector 9"/>
        <xdr:cNvCxnSpPr/>
      </xdr:nvCxnSpPr>
      <xdr:spPr>
        <a:xfrm>
          <a:off x="2647950" y="7077075"/>
          <a:ext cx="1841175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46</xdr:row>
      <xdr:rowOff>76200</xdr:rowOff>
    </xdr:from>
    <xdr:to>
      <xdr:col>6</xdr:col>
      <xdr:colOff>28575</xdr:colOff>
      <xdr:row>53</xdr:row>
      <xdr:rowOff>104775</xdr:rowOff>
    </xdr:to>
    <xdr:grpSp>
      <xdr:nvGrpSpPr>
        <xdr:cNvPr id="26" name="Group 25"/>
        <xdr:cNvGrpSpPr/>
      </xdr:nvGrpSpPr>
      <xdr:grpSpPr>
        <a:xfrm>
          <a:off x="419100" y="9007288"/>
          <a:ext cx="2198034" cy="1362075"/>
          <a:chOff x="419100" y="7905750"/>
          <a:chExt cx="1885950" cy="1188346"/>
        </a:xfrm>
      </xdr:grpSpPr>
      <xdr:cxnSp macro="">
        <xdr:nvCxnSpPr>
          <xdr:cNvPr id="27" name="Straight Connector 26"/>
          <xdr:cNvCxnSpPr/>
        </xdr:nvCxnSpPr>
        <xdr:spPr>
          <a:xfrm>
            <a:off x="1190625" y="7905750"/>
            <a:ext cx="333375" cy="1588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" name="Straight Connector 27"/>
          <xdr:cNvCxnSpPr/>
        </xdr:nvCxnSpPr>
        <xdr:spPr>
          <a:xfrm rot="5400000">
            <a:off x="1133475" y="8305800"/>
            <a:ext cx="800100" cy="1588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Straight Connector 28"/>
          <xdr:cNvCxnSpPr/>
        </xdr:nvCxnSpPr>
        <xdr:spPr>
          <a:xfrm rot="5400000">
            <a:off x="790575" y="8305800"/>
            <a:ext cx="800100" cy="1588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Straight Connector 29"/>
          <xdr:cNvCxnSpPr/>
        </xdr:nvCxnSpPr>
        <xdr:spPr>
          <a:xfrm rot="10800000">
            <a:off x="428625" y="8696325"/>
            <a:ext cx="762000" cy="1588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Straight Connector 30"/>
          <xdr:cNvCxnSpPr/>
        </xdr:nvCxnSpPr>
        <xdr:spPr>
          <a:xfrm rot="10800000">
            <a:off x="1533525" y="8705850"/>
            <a:ext cx="762000" cy="1588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Straight Connector 31"/>
          <xdr:cNvCxnSpPr/>
        </xdr:nvCxnSpPr>
        <xdr:spPr>
          <a:xfrm rot="5400000">
            <a:off x="233056" y="8888517"/>
            <a:ext cx="390525" cy="1588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3" name="Straight Connector 32"/>
          <xdr:cNvCxnSpPr/>
        </xdr:nvCxnSpPr>
        <xdr:spPr>
          <a:xfrm rot="5400000">
            <a:off x="2103336" y="8898040"/>
            <a:ext cx="390525" cy="1588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4" name="Straight Connector 33"/>
          <xdr:cNvCxnSpPr/>
        </xdr:nvCxnSpPr>
        <xdr:spPr>
          <a:xfrm>
            <a:off x="419100" y="9086850"/>
            <a:ext cx="1885950" cy="1588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95250</xdr:colOff>
      <xdr:row>58</xdr:row>
      <xdr:rowOff>180975</xdr:rowOff>
    </xdr:from>
    <xdr:to>
      <xdr:col>13</xdr:col>
      <xdr:colOff>561975</xdr:colOff>
      <xdr:row>60</xdr:row>
      <xdr:rowOff>9525</xdr:rowOff>
    </xdr:to>
    <xdr:sp macro="" textlink="">
      <xdr:nvSpPr>
        <xdr:cNvPr id="35" name="Double Brace 34"/>
        <xdr:cNvSpPr/>
      </xdr:nvSpPr>
      <xdr:spPr>
        <a:xfrm>
          <a:off x="5381625" y="11372850"/>
          <a:ext cx="1695450" cy="20955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15</xdr:col>
      <xdr:colOff>28575</xdr:colOff>
      <xdr:row>58</xdr:row>
      <xdr:rowOff>180974</xdr:rowOff>
    </xdr:from>
    <xdr:to>
      <xdr:col>17</xdr:col>
      <xdr:colOff>561975</xdr:colOff>
      <xdr:row>60</xdr:row>
      <xdr:rowOff>19049</xdr:rowOff>
    </xdr:to>
    <xdr:sp macro="" textlink="">
      <xdr:nvSpPr>
        <xdr:cNvPr id="36" name="Double Brace 35"/>
        <xdr:cNvSpPr/>
      </xdr:nvSpPr>
      <xdr:spPr>
        <a:xfrm>
          <a:off x="7762875" y="11372849"/>
          <a:ext cx="1819275" cy="219075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18</xdr:col>
      <xdr:colOff>38100</xdr:colOff>
      <xdr:row>59</xdr:row>
      <xdr:rowOff>9526</xdr:rowOff>
    </xdr:from>
    <xdr:to>
      <xdr:col>18</xdr:col>
      <xdr:colOff>123825</xdr:colOff>
      <xdr:row>59</xdr:row>
      <xdr:rowOff>180976</xdr:rowOff>
    </xdr:to>
    <xdr:cxnSp macro="">
      <xdr:nvCxnSpPr>
        <xdr:cNvPr id="37" name="Straight Connector 36"/>
        <xdr:cNvCxnSpPr/>
      </xdr:nvCxnSpPr>
      <xdr:spPr>
        <a:xfrm rot="5400000">
          <a:off x="9625013" y="11434763"/>
          <a:ext cx="171450" cy="857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60</xdr:row>
      <xdr:rowOff>190499</xdr:rowOff>
    </xdr:from>
    <xdr:to>
      <xdr:col>13</xdr:col>
      <xdr:colOff>571500</xdr:colOff>
      <xdr:row>62</xdr:row>
      <xdr:rowOff>9524</xdr:rowOff>
    </xdr:to>
    <xdr:sp macro="" textlink="">
      <xdr:nvSpPr>
        <xdr:cNvPr id="38" name="Double Brace 37"/>
        <xdr:cNvSpPr/>
      </xdr:nvSpPr>
      <xdr:spPr>
        <a:xfrm>
          <a:off x="5381625" y="11763374"/>
          <a:ext cx="1704975" cy="200025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15</xdr:col>
      <xdr:colOff>38100</xdr:colOff>
      <xdr:row>60</xdr:row>
      <xdr:rowOff>152400</xdr:rowOff>
    </xdr:from>
    <xdr:to>
      <xdr:col>17</xdr:col>
      <xdr:colOff>561975</xdr:colOff>
      <xdr:row>62</xdr:row>
      <xdr:rowOff>19050</xdr:rowOff>
    </xdr:to>
    <xdr:sp macro="" textlink="">
      <xdr:nvSpPr>
        <xdr:cNvPr id="39" name="Double Brace 38"/>
        <xdr:cNvSpPr/>
      </xdr:nvSpPr>
      <xdr:spPr>
        <a:xfrm>
          <a:off x="7772400" y="11725275"/>
          <a:ext cx="1809750" cy="24765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18</xdr:col>
      <xdr:colOff>38100</xdr:colOff>
      <xdr:row>61</xdr:row>
      <xdr:rowOff>9526</xdr:rowOff>
    </xdr:from>
    <xdr:to>
      <xdr:col>18</xdr:col>
      <xdr:colOff>123825</xdr:colOff>
      <xdr:row>61</xdr:row>
      <xdr:rowOff>180976</xdr:rowOff>
    </xdr:to>
    <xdr:cxnSp macro="">
      <xdr:nvCxnSpPr>
        <xdr:cNvPr id="40" name="Straight Connector 39"/>
        <xdr:cNvCxnSpPr/>
      </xdr:nvCxnSpPr>
      <xdr:spPr>
        <a:xfrm rot="5400000">
          <a:off x="9625013" y="11815763"/>
          <a:ext cx="171450" cy="857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68</xdr:row>
      <xdr:rowOff>1</xdr:rowOff>
    </xdr:from>
    <xdr:to>
      <xdr:col>15</xdr:col>
      <xdr:colOff>514350</xdr:colOff>
      <xdr:row>69</xdr:row>
      <xdr:rowOff>19051</xdr:rowOff>
    </xdr:to>
    <xdr:sp macro="" textlink="">
      <xdr:nvSpPr>
        <xdr:cNvPr id="41" name="Double Brace 40"/>
        <xdr:cNvSpPr/>
      </xdr:nvSpPr>
      <xdr:spPr>
        <a:xfrm>
          <a:off x="6553200" y="13096876"/>
          <a:ext cx="1695450" cy="20955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9</xdr:col>
      <xdr:colOff>66675</xdr:colOff>
      <xdr:row>68</xdr:row>
      <xdr:rowOff>0</xdr:rowOff>
    </xdr:from>
    <xdr:to>
      <xdr:col>16</xdr:col>
      <xdr:colOff>57150</xdr:colOff>
      <xdr:row>69</xdr:row>
      <xdr:rowOff>0</xdr:rowOff>
    </xdr:to>
    <xdr:sp macro="" textlink="">
      <xdr:nvSpPr>
        <xdr:cNvPr id="42" name="Double Brace 41"/>
        <xdr:cNvSpPr/>
      </xdr:nvSpPr>
      <xdr:spPr>
        <a:xfrm>
          <a:off x="4048125" y="13096875"/>
          <a:ext cx="4419600" cy="19050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16</xdr:col>
      <xdr:colOff>114300</xdr:colOff>
      <xdr:row>68</xdr:row>
      <xdr:rowOff>19052</xdr:rowOff>
    </xdr:from>
    <xdr:to>
      <xdr:col>16</xdr:col>
      <xdr:colOff>200025</xdr:colOff>
      <xdr:row>69</xdr:row>
      <xdr:rowOff>2</xdr:rowOff>
    </xdr:to>
    <xdr:cxnSp macro="">
      <xdr:nvCxnSpPr>
        <xdr:cNvPr id="43" name="Straight Connector 42"/>
        <xdr:cNvCxnSpPr/>
      </xdr:nvCxnSpPr>
      <xdr:spPr>
        <a:xfrm rot="5400000">
          <a:off x="8482013" y="13158789"/>
          <a:ext cx="171450" cy="857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38099</xdr:colOff>
      <xdr:row>69</xdr:row>
      <xdr:rowOff>180975</xdr:rowOff>
    </xdr:from>
    <xdr:to>
      <xdr:col>15</xdr:col>
      <xdr:colOff>600074</xdr:colOff>
      <xdr:row>71</xdr:row>
      <xdr:rowOff>19051</xdr:rowOff>
    </xdr:to>
    <xdr:sp macro="" textlink="">
      <xdr:nvSpPr>
        <xdr:cNvPr id="44" name="Double Brace 43"/>
        <xdr:cNvSpPr/>
      </xdr:nvSpPr>
      <xdr:spPr>
        <a:xfrm>
          <a:off x="6553199" y="13468350"/>
          <a:ext cx="1781175" cy="219076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9</xdr:col>
      <xdr:colOff>9525</xdr:colOff>
      <xdr:row>70</xdr:row>
      <xdr:rowOff>19050</xdr:rowOff>
    </xdr:from>
    <xdr:to>
      <xdr:col>16</xdr:col>
      <xdr:colOff>66675</xdr:colOff>
      <xdr:row>71</xdr:row>
      <xdr:rowOff>0</xdr:rowOff>
    </xdr:to>
    <xdr:sp macro="" textlink="">
      <xdr:nvSpPr>
        <xdr:cNvPr id="45" name="Double Brace 44"/>
        <xdr:cNvSpPr/>
      </xdr:nvSpPr>
      <xdr:spPr>
        <a:xfrm>
          <a:off x="3990975" y="13496925"/>
          <a:ext cx="4486275" cy="17145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16</xdr:col>
      <xdr:colOff>104775</xdr:colOff>
      <xdr:row>70</xdr:row>
      <xdr:rowOff>9528</xdr:rowOff>
    </xdr:from>
    <xdr:to>
      <xdr:col>16</xdr:col>
      <xdr:colOff>190500</xdr:colOff>
      <xdr:row>70</xdr:row>
      <xdr:rowOff>180978</xdr:rowOff>
    </xdr:to>
    <xdr:cxnSp macro="">
      <xdr:nvCxnSpPr>
        <xdr:cNvPr id="46" name="Straight Connector 45"/>
        <xdr:cNvCxnSpPr/>
      </xdr:nvCxnSpPr>
      <xdr:spPr>
        <a:xfrm rot="5400000">
          <a:off x="8472488" y="13530265"/>
          <a:ext cx="171450" cy="857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78</xdr:row>
      <xdr:rowOff>104775</xdr:rowOff>
    </xdr:from>
    <xdr:to>
      <xdr:col>12</xdr:col>
      <xdr:colOff>552450</xdr:colOff>
      <xdr:row>78</xdr:row>
      <xdr:rowOff>106363</xdr:rowOff>
    </xdr:to>
    <xdr:cxnSp macro="">
      <xdr:nvCxnSpPr>
        <xdr:cNvPr id="47" name="Straight Connector 46"/>
        <xdr:cNvCxnSpPr/>
      </xdr:nvCxnSpPr>
      <xdr:spPr>
        <a:xfrm>
          <a:off x="5353050" y="14916150"/>
          <a:ext cx="4857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81</xdr:row>
      <xdr:rowOff>95250</xdr:rowOff>
    </xdr:from>
    <xdr:to>
      <xdr:col>12</xdr:col>
      <xdr:colOff>533400</xdr:colOff>
      <xdr:row>81</xdr:row>
      <xdr:rowOff>96838</xdr:rowOff>
    </xdr:to>
    <xdr:cxnSp macro="">
      <xdr:nvCxnSpPr>
        <xdr:cNvPr id="48" name="Straight Connector 47"/>
        <xdr:cNvCxnSpPr/>
      </xdr:nvCxnSpPr>
      <xdr:spPr>
        <a:xfrm>
          <a:off x="5334000" y="15478125"/>
          <a:ext cx="4857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80</xdr:row>
      <xdr:rowOff>0</xdr:rowOff>
    </xdr:from>
    <xdr:to>
      <xdr:col>12</xdr:col>
      <xdr:colOff>476250</xdr:colOff>
      <xdr:row>81</xdr:row>
      <xdr:rowOff>47625</xdr:rowOff>
    </xdr:to>
    <xdr:grpSp>
      <xdr:nvGrpSpPr>
        <xdr:cNvPr id="49" name="Group 48"/>
        <xdr:cNvGrpSpPr/>
      </xdr:nvGrpSpPr>
      <xdr:grpSpPr>
        <a:xfrm>
          <a:off x="6145306" y="15408088"/>
          <a:ext cx="438150" cy="238125"/>
          <a:chOff x="4695825" y="14192250"/>
          <a:chExt cx="438150" cy="238125"/>
        </a:xfrm>
      </xdr:grpSpPr>
      <xdr:cxnSp macro="">
        <xdr:nvCxnSpPr>
          <xdr:cNvPr id="50" name="Straight Connector 49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Straight Connector 50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Straight Connector 51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28575</xdr:colOff>
      <xdr:row>76</xdr:row>
      <xdr:rowOff>171450</xdr:rowOff>
    </xdr:from>
    <xdr:to>
      <xdr:col>12</xdr:col>
      <xdr:colOff>466725</xdr:colOff>
      <xdr:row>78</xdr:row>
      <xdr:rowOff>28575</xdr:rowOff>
    </xdr:to>
    <xdr:grpSp>
      <xdr:nvGrpSpPr>
        <xdr:cNvPr id="53" name="Group 52"/>
        <xdr:cNvGrpSpPr/>
      </xdr:nvGrpSpPr>
      <xdr:grpSpPr>
        <a:xfrm>
          <a:off x="6135781" y="14817538"/>
          <a:ext cx="438150" cy="238125"/>
          <a:chOff x="4695825" y="14192250"/>
          <a:chExt cx="438150" cy="238125"/>
        </a:xfrm>
      </xdr:grpSpPr>
      <xdr:cxnSp macro="">
        <xdr:nvCxnSpPr>
          <xdr:cNvPr id="54" name="Straight Connector 53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Straight Connector 54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Straight Connector 55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76200</xdr:colOff>
      <xdr:row>104</xdr:row>
      <xdr:rowOff>114300</xdr:rowOff>
    </xdr:from>
    <xdr:to>
      <xdr:col>15</xdr:col>
      <xdr:colOff>542925</xdr:colOff>
      <xdr:row>104</xdr:row>
      <xdr:rowOff>115888</xdr:rowOff>
    </xdr:to>
    <xdr:cxnSp macro="">
      <xdr:nvCxnSpPr>
        <xdr:cNvPr id="57" name="Straight Connector 56"/>
        <xdr:cNvCxnSpPr/>
      </xdr:nvCxnSpPr>
      <xdr:spPr>
        <a:xfrm>
          <a:off x="6591300" y="19116675"/>
          <a:ext cx="168592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104</xdr:row>
      <xdr:rowOff>0</xdr:rowOff>
    </xdr:from>
    <xdr:to>
      <xdr:col>8</xdr:col>
      <xdr:colOff>9525</xdr:colOff>
      <xdr:row>105</xdr:row>
      <xdr:rowOff>19050</xdr:rowOff>
    </xdr:to>
    <xdr:sp macro="" textlink="">
      <xdr:nvSpPr>
        <xdr:cNvPr id="58" name="Double Brace 57"/>
        <xdr:cNvSpPr/>
      </xdr:nvSpPr>
      <xdr:spPr>
        <a:xfrm>
          <a:off x="2133600" y="19002375"/>
          <a:ext cx="1352550" cy="238125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9</xdr:col>
      <xdr:colOff>47625</xdr:colOff>
      <xdr:row>104</xdr:row>
      <xdr:rowOff>9525</xdr:rowOff>
    </xdr:from>
    <xdr:to>
      <xdr:col>11</xdr:col>
      <xdr:colOff>514350</xdr:colOff>
      <xdr:row>105</xdr:row>
      <xdr:rowOff>19050</xdr:rowOff>
    </xdr:to>
    <xdr:sp macro="" textlink="">
      <xdr:nvSpPr>
        <xdr:cNvPr id="59" name="Double Brace 58"/>
        <xdr:cNvSpPr/>
      </xdr:nvSpPr>
      <xdr:spPr>
        <a:xfrm>
          <a:off x="4029075" y="19011900"/>
          <a:ext cx="1771650" cy="22860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12</xdr:col>
      <xdr:colOff>276225</xdr:colOff>
      <xdr:row>103</xdr:row>
      <xdr:rowOff>0</xdr:rowOff>
    </xdr:from>
    <xdr:to>
      <xdr:col>16</xdr:col>
      <xdr:colOff>76200</xdr:colOff>
      <xdr:row>106</xdr:row>
      <xdr:rowOff>38100</xdr:rowOff>
    </xdr:to>
    <xdr:sp macro="" textlink="">
      <xdr:nvSpPr>
        <xdr:cNvPr id="60" name="Double Brace 59"/>
        <xdr:cNvSpPr/>
      </xdr:nvSpPr>
      <xdr:spPr>
        <a:xfrm>
          <a:off x="6200775" y="18811875"/>
          <a:ext cx="2286000" cy="638175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9</xdr:col>
      <xdr:colOff>76200</xdr:colOff>
      <xdr:row>108</xdr:row>
      <xdr:rowOff>114300</xdr:rowOff>
    </xdr:from>
    <xdr:to>
      <xdr:col>11</xdr:col>
      <xdr:colOff>542925</xdr:colOff>
      <xdr:row>108</xdr:row>
      <xdr:rowOff>115888</xdr:rowOff>
    </xdr:to>
    <xdr:cxnSp macro="">
      <xdr:nvCxnSpPr>
        <xdr:cNvPr id="61" name="Straight Connector 60"/>
        <xdr:cNvCxnSpPr/>
      </xdr:nvCxnSpPr>
      <xdr:spPr>
        <a:xfrm>
          <a:off x="4057650" y="19907250"/>
          <a:ext cx="17716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103</xdr:row>
      <xdr:rowOff>19050</xdr:rowOff>
    </xdr:from>
    <xdr:to>
      <xdr:col>11</xdr:col>
      <xdr:colOff>600075</xdr:colOff>
      <xdr:row>106</xdr:row>
      <xdr:rowOff>47625</xdr:rowOff>
    </xdr:to>
    <xdr:sp macro="" textlink="">
      <xdr:nvSpPr>
        <xdr:cNvPr id="62" name="Double Brace 61"/>
        <xdr:cNvSpPr/>
      </xdr:nvSpPr>
      <xdr:spPr>
        <a:xfrm>
          <a:off x="990600" y="18830925"/>
          <a:ext cx="4895850" cy="62865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95250</xdr:colOff>
      <xdr:row>107</xdr:row>
      <xdr:rowOff>180975</xdr:rowOff>
    </xdr:from>
    <xdr:to>
      <xdr:col>8</xdr:col>
      <xdr:colOff>85725</xdr:colOff>
      <xdr:row>109</xdr:row>
      <xdr:rowOff>66675</xdr:rowOff>
    </xdr:to>
    <xdr:sp macro="" textlink="">
      <xdr:nvSpPr>
        <xdr:cNvPr id="63" name="Double Brace 62"/>
        <xdr:cNvSpPr/>
      </xdr:nvSpPr>
      <xdr:spPr>
        <a:xfrm>
          <a:off x="857250" y="19783425"/>
          <a:ext cx="2705100" cy="295275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66675</xdr:colOff>
      <xdr:row>113</xdr:row>
      <xdr:rowOff>104775</xdr:rowOff>
    </xdr:from>
    <xdr:to>
      <xdr:col>2</xdr:col>
      <xdr:colOff>428625</xdr:colOff>
      <xdr:row>113</xdr:row>
      <xdr:rowOff>106363</xdr:rowOff>
    </xdr:to>
    <xdr:cxnSp macro="">
      <xdr:nvCxnSpPr>
        <xdr:cNvPr id="64" name="Straight Connector 63"/>
        <xdr:cNvCxnSpPr/>
      </xdr:nvCxnSpPr>
      <xdr:spPr>
        <a:xfrm>
          <a:off x="828675" y="20878800"/>
          <a:ext cx="3619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113</xdr:row>
      <xdr:rowOff>95250</xdr:rowOff>
    </xdr:from>
    <xdr:to>
      <xdr:col>4</xdr:col>
      <xdr:colOff>409575</xdr:colOff>
      <xdr:row>113</xdr:row>
      <xdr:rowOff>96838</xdr:rowOff>
    </xdr:to>
    <xdr:cxnSp macro="">
      <xdr:nvCxnSpPr>
        <xdr:cNvPr id="65" name="Straight Connector 64"/>
        <xdr:cNvCxnSpPr/>
      </xdr:nvCxnSpPr>
      <xdr:spPr>
        <a:xfrm>
          <a:off x="1752600" y="20869275"/>
          <a:ext cx="3619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116</xdr:row>
      <xdr:rowOff>28576</xdr:rowOff>
    </xdr:from>
    <xdr:to>
      <xdr:col>7</xdr:col>
      <xdr:colOff>9525</xdr:colOff>
      <xdr:row>117</xdr:row>
      <xdr:rowOff>0</xdr:rowOff>
    </xdr:to>
    <xdr:sp macro="" textlink="">
      <xdr:nvSpPr>
        <xdr:cNvPr id="66" name="Double Bracket 65"/>
        <xdr:cNvSpPr/>
      </xdr:nvSpPr>
      <xdr:spPr>
        <a:xfrm>
          <a:off x="1704975" y="21374101"/>
          <a:ext cx="1333500" cy="16192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8</xdr:col>
      <xdr:colOff>47625</xdr:colOff>
      <xdr:row>116</xdr:row>
      <xdr:rowOff>19051</xdr:rowOff>
    </xdr:from>
    <xdr:to>
      <xdr:col>10</xdr:col>
      <xdr:colOff>371475</xdr:colOff>
      <xdr:row>116</xdr:row>
      <xdr:rowOff>180975</xdr:rowOff>
    </xdr:to>
    <xdr:sp macro="" textlink="">
      <xdr:nvSpPr>
        <xdr:cNvPr id="67" name="Double Bracket 66"/>
        <xdr:cNvSpPr/>
      </xdr:nvSpPr>
      <xdr:spPr>
        <a:xfrm>
          <a:off x="3524250" y="21364576"/>
          <a:ext cx="1628775" cy="16192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3</xdr:col>
      <xdr:colOff>238125</xdr:colOff>
      <xdr:row>115</xdr:row>
      <xdr:rowOff>171450</xdr:rowOff>
    </xdr:from>
    <xdr:to>
      <xdr:col>10</xdr:col>
      <xdr:colOff>457200</xdr:colOff>
      <xdr:row>117</xdr:row>
      <xdr:rowOff>19050</xdr:rowOff>
    </xdr:to>
    <xdr:sp macro="" textlink="">
      <xdr:nvSpPr>
        <xdr:cNvPr id="68" name="Double Brace 67"/>
        <xdr:cNvSpPr/>
      </xdr:nvSpPr>
      <xdr:spPr>
        <a:xfrm>
          <a:off x="1638300" y="21326475"/>
          <a:ext cx="3600450" cy="22860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4</xdr:col>
      <xdr:colOff>0</xdr:colOff>
      <xdr:row>118</xdr:row>
      <xdr:rowOff>28576</xdr:rowOff>
    </xdr:from>
    <xdr:to>
      <xdr:col>7</xdr:col>
      <xdr:colOff>9525</xdr:colOff>
      <xdr:row>119</xdr:row>
      <xdr:rowOff>0</xdr:rowOff>
    </xdr:to>
    <xdr:sp macro="" textlink="">
      <xdr:nvSpPr>
        <xdr:cNvPr id="69" name="Double Bracket 68"/>
        <xdr:cNvSpPr/>
      </xdr:nvSpPr>
      <xdr:spPr>
        <a:xfrm>
          <a:off x="1704975" y="21755101"/>
          <a:ext cx="1333500" cy="16192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8</xdr:col>
      <xdr:colOff>47624</xdr:colOff>
      <xdr:row>118</xdr:row>
      <xdr:rowOff>9525</xdr:rowOff>
    </xdr:from>
    <xdr:to>
      <xdr:col>10</xdr:col>
      <xdr:colOff>476249</xdr:colOff>
      <xdr:row>118</xdr:row>
      <xdr:rowOff>180975</xdr:rowOff>
    </xdr:to>
    <xdr:sp macro="" textlink="">
      <xdr:nvSpPr>
        <xdr:cNvPr id="70" name="Double Bracket 69"/>
        <xdr:cNvSpPr/>
      </xdr:nvSpPr>
      <xdr:spPr>
        <a:xfrm>
          <a:off x="3524249" y="21736050"/>
          <a:ext cx="1733550" cy="1714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3</xdr:col>
      <xdr:colOff>238125</xdr:colOff>
      <xdr:row>117</xdr:row>
      <xdr:rowOff>171450</xdr:rowOff>
    </xdr:from>
    <xdr:to>
      <xdr:col>11</xdr:col>
      <xdr:colOff>95250</xdr:colOff>
      <xdr:row>119</xdr:row>
      <xdr:rowOff>19050</xdr:rowOff>
    </xdr:to>
    <xdr:sp macro="" textlink="">
      <xdr:nvSpPr>
        <xdr:cNvPr id="71" name="Double Brace 70"/>
        <xdr:cNvSpPr/>
      </xdr:nvSpPr>
      <xdr:spPr>
        <a:xfrm>
          <a:off x="1638300" y="21707475"/>
          <a:ext cx="3743325" cy="22860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10</xdr:col>
      <xdr:colOff>0</xdr:colOff>
      <xdr:row>123</xdr:row>
      <xdr:rowOff>171450</xdr:rowOff>
    </xdr:from>
    <xdr:to>
      <xdr:col>12</xdr:col>
      <xdr:colOff>581025</xdr:colOff>
      <xdr:row>127</xdr:row>
      <xdr:rowOff>38100</xdr:rowOff>
    </xdr:to>
    <xdr:sp macro="" textlink="">
      <xdr:nvSpPr>
        <xdr:cNvPr id="72" name="Double Bracket 71"/>
        <xdr:cNvSpPr/>
      </xdr:nvSpPr>
      <xdr:spPr>
        <a:xfrm>
          <a:off x="3981450" y="22850475"/>
          <a:ext cx="1885950" cy="6286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14</xdr:col>
      <xdr:colOff>219075</xdr:colOff>
      <xdr:row>125</xdr:row>
      <xdr:rowOff>104775</xdr:rowOff>
    </xdr:from>
    <xdr:to>
      <xdr:col>16</xdr:col>
      <xdr:colOff>400050</xdr:colOff>
      <xdr:row>125</xdr:row>
      <xdr:rowOff>106363</xdr:rowOff>
    </xdr:to>
    <xdr:cxnSp macro="">
      <xdr:nvCxnSpPr>
        <xdr:cNvPr id="73" name="Straight Connector 72"/>
        <xdr:cNvCxnSpPr/>
      </xdr:nvCxnSpPr>
      <xdr:spPr>
        <a:xfrm>
          <a:off x="6734175" y="23164800"/>
          <a:ext cx="14001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152400</xdr:colOff>
      <xdr:row>125</xdr:row>
      <xdr:rowOff>104775</xdr:rowOff>
    </xdr:from>
    <xdr:to>
      <xdr:col>12</xdr:col>
      <xdr:colOff>457200</xdr:colOff>
      <xdr:row>125</xdr:row>
      <xdr:rowOff>106363</xdr:rowOff>
    </xdr:to>
    <xdr:cxnSp macro="">
      <xdr:nvCxnSpPr>
        <xdr:cNvPr id="74" name="Straight Connector 73"/>
        <xdr:cNvCxnSpPr/>
      </xdr:nvCxnSpPr>
      <xdr:spPr>
        <a:xfrm>
          <a:off x="5438775" y="23164800"/>
          <a:ext cx="3048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127</xdr:row>
      <xdr:rowOff>171450</xdr:rowOff>
    </xdr:from>
    <xdr:to>
      <xdr:col>12</xdr:col>
      <xdr:colOff>581025</xdr:colOff>
      <xdr:row>131</xdr:row>
      <xdr:rowOff>38100</xdr:rowOff>
    </xdr:to>
    <xdr:sp macro="" textlink="">
      <xdr:nvSpPr>
        <xdr:cNvPr id="75" name="Double Bracket 74"/>
        <xdr:cNvSpPr/>
      </xdr:nvSpPr>
      <xdr:spPr>
        <a:xfrm>
          <a:off x="3981450" y="23612475"/>
          <a:ext cx="1885950" cy="6286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14</xdr:col>
      <xdr:colOff>219075</xdr:colOff>
      <xdr:row>129</xdr:row>
      <xdr:rowOff>104775</xdr:rowOff>
    </xdr:from>
    <xdr:to>
      <xdr:col>16</xdr:col>
      <xdr:colOff>400050</xdr:colOff>
      <xdr:row>129</xdr:row>
      <xdr:rowOff>106363</xdr:rowOff>
    </xdr:to>
    <xdr:cxnSp macro="">
      <xdr:nvCxnSpPr>
        <xdr:cNvPr id="76" name="Straight Connector 75"/>
        <xdr:cNvCxnSpPr/>
      </xdr:nvCxnSpPr>
      <xdr:spPr>
        <a:xfrm>
          <a:off x="6734175" y="23926800"/>
          <a:ext cx="14001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152400</xdr:colOff>
      <xdr:row>129</xdr:row>
      <xdr:rowOff>104775</xdr:rowOff>
    </xdr:from>
    <xdr:to>
      <xdr:col>12</xdr:col>
      <xdr:colOff>457200</xdr:colOff>
      <xdr:row>129</xdr:row>
      <xdr:rowOff>106363</xdr:rowOff>
    </xdr:to>
    <xdr:cxnSp macro="">
      <xdr:nvCxnSpPr>
        <xdr:cNvPr id="77" name="Straight Connector 76"/>
        <xdr:cNvCxnSpPr/>
      </xdr:nvCxnSpPr>
      <xdr:spPr>
        <a:xfrm>
          <a:off x="5438775" y="23926800"/>
          <a:ext cx="3048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47625</xdr:colOff>
      <xdr:row>123</xdr:row>
      <xdr:rowOff>152400</xdr:rowOff>
    </xdr:from>
    <xdr:to>
      <xdr:col>14</xdr:col>
      <xdr:colOff>485775</xdr:colOff>
      <xdr:row>125</xdr:row>
      <xdr:rowOff>9525</xdr:rowOff>
    </xdr:to>
    <xdr:grpSp>
      <xdr:nvGrpSpPr>
        <xdr:cNvPr id="78" name="Group 77"/>
        <xdr:cNvGrpSpPr/>
      </xdr:nvGrpSpPr>
      <xdr:grpSpPr>
        <a:xfrm>
          <a:off x="7409890" y="23819224"/>
          <a:ext cx="438150" cy="238125"/>
          <a:chOff x="4695825" y="14192250"/>
          <a:chExt cx="438150" cy="238125"/>
        </a:xfrm>
      </xdr:grpSpPr>
      <xdr:cxnSp macro="">
        <xdr:nvCxnSpPr>
          <xdr:cNvPr id="79" name="Straight Connector 78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" name="Straight Connector 79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Straight Connector 80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47625</xdr:colOff>
      <xdr:row>127</xdr:row>
      <xdr:rowOff>123825</xdr:rowOff>
    </xdr:from>
    <xdr:to>
      <xdr:col>14</xdr:col>
      <xdr:colOff>485775</xdr:colOff>
      <xdr:row>128</xdr:row>
      <xdr:rowOff>171450</xdr:rowOff>
    </xdr:to>
    <xdr:grpSp>
      <xdr:nvGrpSpPr>
        <xdr:cNvPr id="82" name="Group 81"/>
        <xdr:cNvGrpSpPr/>
      </xdr:nvGrpSpPr>
      <xdr:grpSpPr>
        <a:xfrm>
          <a:off x="7409890" y="24552649"/>
          <a:ext cx="438150" cy="238125"/>
          <a:chOff x="4695825" y="14192250"/>
          <a:chExt cx="438150" cy="238125"/>
        </a:xfrm>
      </xdr:grpSpPr>
      <xdr:cxnSp macro="">
        <xdr:nvCxnSpPr>
          <xdr:cNvPr id="83" name="Straight Connector 82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Straight Connector 83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Straight Connector 84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784412</xdr:colOff>
      <xdr:row>135</xdr:row>
      <xdr:rowOff>171450</xdr:rowOff>
    </xdr:from>
    <xdr:to>
      <xdr:col>14</xdr:col>
      <xdr:colOff>57149</xdr:colOff>
      <xdr:row>139</xdr:row>
      <xdr:rowOff>38100</xdr:rowOff>
    </xdr:to>
    <xdr:sp macro="" textlink="">
      <xdr:nvSpPr>
        <xdr:cNvPr id="86" name="Double Bracket 85"/>
        <xdr:cNvSpPr/>
      </xdr:nvSpPr>
      <xdr:spPr>
        <a:xfrm>
          <a:off x="4773706" y="26124274"/>
          <a:ext cx="2410384" cy="6286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15</xdr:col>
      <xdr:colOff>219075</xdr:colOff>
      <xdr:row>137</xdr:row>
      <xdr:rowOff>104775</xdr:rowOff>
    </xdr:from>
    <xdr:to>
      <xdr:col>17</xdr:col>
      <xdr:colOff>400050</xdr:colOff>
      <xdr:row>137</xdr:row>
      <xdr:rowOff>106363</xdr:rowOff>
    </xdr:to>
    <xdr:cxnSp macro="">
      <xdr:nvCxnSpPr>
        <xdr:cNvPr id="87" name="Straight Connector 86"/>
        <xdr:cNvCxnSpPr/>
      </xdr:nvCxnSpPr>
      <xdr:spPr>
        <a:xfrm>
          <a:off x="7343775" y="25450800"/>
          <a:ext cx="14668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47625</xdr:colOff>
      <xdr:row>135</xdr:row>
      <xdr:rowOff>152400</xdr:rowOff>
    </xdr:from>
    <xdr:to>
      <xdr:col>15</xdr:col>
      <xdr:colOff>485775</xdr:colOff>
      <xdr:row>137</xdr:row>
      <xdr:rowOff>9525</xdr:rowOff>
    </xdr:to>
    <xdr:grpSp>
      <xdr:nvGrpSpPr>
        <xdr:cNvPr id="88" name="Group 87"/>
        <xdr:cNvGrpSpPr/>
      </xdr:nvGrpSpPr>
      <xdr:grpSpPr>
        <a:xfrm>
          <a:off x="8015007" y="26105224"/>
          <a:ext cx="438150" cy="238125"/>
          <a:chOff x="4695825" y="14192250"/>
          <a:chExt cx="438150" cy="238125"/>
        </a:xfrm>
      </xdr:grpSpPr>
      <xdr:cxnSp macro="">
        <xdr:nvCxnSpPr>
          <xdr:cNvPr id="89" name="Straight Connector 88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" name="Straight Connector 89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Straight Connector 90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133350</xdr:colOff>
      <xdr:row>137</xdr:row>
      <xdr:rowOff>104775</xdr:rowOff>
    </xdr:from>
    <xdr:to>
      <xdr:col>13</xdr:col>
      <xdr:colOff>219075</xdr:colOff>
      <xdr:row>137</xdr:row>
      <xdr:rowOff>106363</xdr:rowOff>
    </xdr:to>
    <xdr:cxnSp macro="">
      <xdr:nvCxnSpPr>
        <xdr:cNvPr id="92" name="Straight Connector 91"/>
        <xdr:cNvCxnSpPr/>
      </xdr:nvCxnSpPr>
      <xdr:spPr>
        <a:xfrm>
          <a:off x="5419725" y="25450800"/>
          <a:ext cx="7239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784412</xdr:colOff>
      <xdr:row>139</xdr:row>
      <xdr:rowOff>171450</xdr:rowOff>
    </xdr:from>
    <xdr:to>
      <xdr:col>14</xdr:col>
      <xdr:colOff>57149</xdr:colOff>
      <xdr:row>143</xdr:row>
      <xdr:rowOff>38100</xdr:rowOff>
    </xdr:to>
    <xdr:sp macro="" textlink="">
      <xdr:nvSpPr>
        <xdr:cNvPr id="93" name="Double Bracket 92"/>
        <xdr:cNvSpPr/>
      </xdr:nvSpPr>
      <xdr:spPr>
        <a:xfrm>
          <a:off x="4773706" y="26886274"/>
          <a:ext cx="2410384" cy="6286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15</xdr:col>
      <xdr:colOff>219075</xdr:colOff>
      <xdr:row>141</xdr:row>
      <xdr:rowOff>104775</xdr:rowOff>
    </xdr:from>
    <xdr:to>
      <xdr:col>17</xdr:col>
      <xdr:colOff>400050</xdr:colOff>
      <xdr:row>141</xdr:row>
      <xdr:rowOff>106363</xdr:rowOff>
    </xdr:to>
    <xdr:cxnSp macro="">
      <xdr:nvCxnSpPr>
        <xdr:cNvPr id="94" name="Straight Connector 93"/>
        <xdr:cNvCxnSpPr/>
      </xdr:nvCxnSpPr>
      <xdr:spPr>
        <a:xfrm>
          <a:off x="7343775" y="26212800"/>
          <a:ext cx="14668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47625</xdr:colOff>
      <xdr:row>139</xdr:row>
      <xdr:rowOff>152400</xdr:rowOff>
    </xdr:from>
    <xdr:to>
      <xdr:col>15</xdr:col>
      <xdr:colOff>485775</xdr:colOff>
      <xdr:row>141</xdr:row>
      <xdr:rowOff>9525</xdr:rowOff>
    </xdr:to>
    <xdr:grpSp>
      <xdr:nvGrpSpPr>
        <xdr:cNvPr id="95" name="Group 94"/>
        <xdr:cNvGrpSpPr/>
      </xdr:nvGrpSpPr>
      <xdr:grpSpPr>
        <a:xfrm>
          <a:off x="8015007" y="26867224"/>
          <a:ext cx="438150" cy="238125"/>
          <a:chOff x="4695825" y="14192250"/>
          <a:chExt cx="438150" cy="238125"/>
        </a:xfrm>
      </xdr:grpSpPr>
      <xdr:cxnSp macro="">
        <xdr:nvCxnSpPr>
          <xdr:cNvPr id="96" name="Straight Connector 95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Straight Connector 96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Straight Connector 97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133350</xdr:colOff>
      <xdr:row>141</xdr:row>
      <xdr:rowOff>104775</xdr:rowOff>
    </xdr:from>
    <xdr:to>
      <xdr:col>13</xdr:col>
      <xdr:colOff>219075</xdr:colOff>
      <xdr:row>141</xdr:row>
      <xdr:rowOff>106363</xdr:rowOff>
    </xdr:to>
    <xdr:cxnSp macro="">
      <xdr:nvCxnSpPr>
        <xdr:cNvPr id="99" name="Straight Connector 98"/>
        <xdr:cNvCxnSpPr/>
      </xdr:nvCxnSpPr>
      <xdr:spPr>
        <a:xfrm>
          <a:off x="5419725" y="26212800"/>
          <a:ext cx="7239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149</xdr:row>
      <xdr:rowOff>95250</xdr:rowOff>
    </xdr:from>
    <xdr:to>
      <xdr:col>9</xdr:col>
      <xdr:colOff>514350</xdr:colOff>
      <xdr:row>149</xdr:row>
      <xdr:rowOff>96838</xdr:rowOff>
    </xdr:to>
    <xdr:cxnSp macro="">
      <xdr:nvCxnSpPr>
        <xdr:cNvPr id="100" name="Straight Connector 99"/>
        <xdr:cNvCxnSpPr/>
      </xdr:nvCxnSpPr>
      <xdr:spPr>
        <a:xfrm>
          <a:off x="4267200" y="27727275"/>
          <a:ext cx="2286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</xdr:colOff>
      <xdr:row>148</xdr:row>
      <xdr:rowOff>142875</xdr:rowOff>
    </xdr:from>
    <xdr:to>
      <xdr:col>11</xdr:col>
      <xdr:colOff>495300</xdr:colOff>
      <xdr:row>150</xdr:row>
      <xdr:rowOff>0</xdr:rowOff>
    </xdr:to>
    <xdr:grpSp>
      <xdr:nvGrpSpPr>
        <xdr:cNvPr id="101" name="Group 100"/>
        <xdr:cNvGrpSpPr/>
      </xdr:nvGrpSpPr>
      <xdr:grpSpPr>
        <a:xfrm>
          <a:off x="5525621" y="28572199"/>
          <a:ext cx="438150" cy="238125"/>
          <a:chOff x="4695825" y="14192250"/>
          <a:chExt cx="438150" cy="238125"/>
        </a:xfrm>
      </xdr:grpSpPr>
      <xdr:cxnSp macro="">
        <xdr:nvCxnSpPr>
          <xdr:cNvPr id="102" name="Straight Connector 101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Straight Connector 102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4" name="Straight Connector 103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285750</xdr:colOff>
      <xdr:row>152</xdr:row>
      <xdr:rowOff>95250</xdr:rowOff>
    </xdr:from>
    <xdr:to>
      <xdr:col>9</xdr:col>
      <xdr:colOff>514350</xdr:colOff>
      <xdr:row>152</xdr:row>
      <xdr:rowOff>96838</xdr:rowOff>
    </xdr:to>
    <xdr:cxnSp macro="">
      <xdr:nvCxnSpPr>
        <xdr:cNvPr id="105" name="Straight Connector 104"/>
        <xdr:cNvCxnSpPr/>
      </xdr:nvCxnSpPr>
      <xdr:spPr>
        <a:xfrm>
          <a:off x="4267200" y="28298775"/>
          <a:ext cx="2286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</xdr:colOff>
      <xdr:row>151</xdr:row>
      <xdr:rowOff>142875</xdr:rowOff>
    </xdr:from>
    <xdr:to>
      <xdr:col>11</xdr:col>
      <xdr:colOff>495300</xdr:colOff>
      <xdr:row>153</xdr:row>
      <xdr:rowOff>0</xdr:rowOff>
    </xdr:to>
    <xdr:grpSp>
      <xdr:nvGrpSpPr>
        <xdr:cNvPr id="106" name="Group 105"/>
        <xdr:cNvGrpSpPr/>
      </xdr:nvGrpSpPr>
      <xdr:grpSpPr>
        <a:xfrm>
          <a:off x="5525621" y="29143699"/>
          <a:ext cx="438150" cy="238125"/>
          <a:chOff x="4695825" y="14192250"/>
          <a:chExt cx="438150" cy="238125"/>
        </a:xfrm>
      </xdr:grpSpPr>
      <xdr:cxnSp macro="">
        <xdr:nvCxnSpPr>
          <xdr:cNvPr id="107" name="Straight Connector 106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" name="Straight Connector 107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" name="Straight Connector 108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228600</xdr:colOff>
      <xdr:row>160</xdr:row>
      <xdr:rowOff>9525</xdr:rowOff>
    </xdr:from>
    <xdr:to>
      <xdr:col>3</xdr:col>
      <xdr:colOff>342900</xdr:colOff>
      <xdr:row>163</xdr:row>
      <xdr:rowOff>0</xdr:rowOff>
    </xdr:to>
    <xdr:sp macro="" textlink="">
      <xdr:nvSpPr>
        <xdr:cNvPr id="110" name="Right Brace 109"/>
        <xdr:cNvSpPr/>
      </xdr:nvSpPr>
      <xdr:spPr>
        <a:xfrm>
          <a:off x="5010150" y="29737050"/>
          <a:ext cx="114300" cy="5619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9</xdr:col>
      <xdr:colOff>219075</xdr:colOff>
      <xdr:row>182</xdr:row>
      <xdr:rowOff>95250</xdr:rowOff>
    </xdr:from>
    <xdr:to>
      <xdr:col>9</xdr:col>
      <xdr:colOff>590550</xdr:colOff>
      <xdr:row>182</xdr:row>
      <xdr:rowOff>96838</xdr:rowOff>
    </xdr:to>
    <xdr:cxnSp macro="">
      <xdr:nvCxnSpPr>
        <xdr:cNvPr id="111" name="Straight Connector 110"/>
        <xdr:cNvCxnSpPr/>
      </xdr:nvCxnSpPr>
      <xdr:spPr>
        <a:xfrm>
          <a:off x="4200525" y="34013775"/>
          <a:ext cx="371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182</xdr:row>
      <xdr:rowOff>95250</xdr:rowOff>
    </xdr:from>
    <xdr:to>
      <xdr:col>11</xdr:col>
      <xdr:colOff>504825</xdr:colOff>
      <xdr:row>182</xdr:row>
      <xdr:rowOff>96838</xdr:rowOff>
    </xdr:to>
    <xdr:cxnSp macro="">
      <xdr:nvCxnSpPr>
        <xdr:cNvPr id="112" name="Straight Connector 111"/>
        <xdr:cNvCxnSpPr/>
      </xdr:nvCxnSpPr>
      <xdr:spPr>
        <a:xfrm>
          <a:off x="5419725" y="34013775"/>
          <a:ext cx="371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219075</xdr:colOff>
      <xdr:row>186</xdr:row>
      <xdr:rowOff>95250</xdr:rowOff>
    </xdr:from>
    <xdr:to>
      <xdr:col>9</xdr:col>
      <xdr:colOff>590550</xdr:colOff>
      <xdr:row>186</xdr:row>
      <xdr:rowOff>96838</xdr:rowOff>
    </xdr:to>
    <xdr:cxnSp macro="">
      <xdr:nvCxnSpPr>
        <xdr:cNvPr id="113" name="Straight Connector 112"/>
        <xdr:cNvCxnSpPr/>
      </xdr:nvCxnSpPr>
      <xdr:spPr>
        <a:xfrm>
          <a:off x="4200525" y="34775775"/>
          <a:ext cx="371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186</xdr:row>
      <xdr:rowOff>95250</xdr:rowOff>
    </xdr:from>
    <xdr:to>
      <xdr:col>11</xdr:col>
      <xdr:colOff>504825</xdr:colOff>
      <xdr:row>186</xdr:row>
      <xdr:rowOff>96838</xdr:rowOff>
    </xdr:to>
    <xdr:cxnSp macro="">
      <xdr:nvCxnSpPr>
        <xdr:cNvPr id="114" name="Straight Connector 113"/>
        <xdr:cNvCxnSpPr/>
      </xdr:nvCxnSpPr>
      <xdr:spPr>
        <a:xfrm>
          <a:off x="5419725" y="34775775"/>
          <a:ext cx="371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85726</xdr:colOff>
      <xdr:row>191</xdr:row>
      <xdr:rowOff>47625</xdr:rowOff>
    </xdr:from>
    <xdr:to>
      <xdr:col>11</xdr:col>
      <xdr:colOff>161926</xdr:colOff>
      <xdr:row>191</xdr:row>
      <xdr:rowOff>152400</xdr:rowOff>
    </xdr:to>
    <xdr:cxnSp macro="">
      <xdr:nvCxnSpPr>
        <xdr:cNvPr id="115" name="Straight Connector 114"/>
        <xdr:cNvCxnSpPr/>
      </xdr:nvCxnSpPr>
      <xdr:spPr>
        <a:xfrm rot="5400000" flipH="1" flipV="1">
          <a:off x="5357813" y="35694938"/>
          <a:ext cx="104775" cy="762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191</xdr:row>
      <xdr:rowOff>9525</xdr:rowOff>
    </xdr:from>
    <xdr:to>
      <xdr:col>6</xdr:col>
      <xdr:colOff>361950</xdr:colOff>
      <xdr:row>192</xdr:row>
      <xdr:rowOff>19050</xdr:rowOff>
    </xdr:to>
    <xdr:sp macro="" textlink="">
      <xdr:nvSpPr>
        <xdr:cNvPr id="116" name="Double Bracket 115"/>
        <xdr:cNvSpPr/>
      </xdr:nvSpPr>
      <xdr:spPr>
        <a:xfrm>
          <a:off x="1771650" y="35642550"/>
          <a:ext cx="1171575" cy="2000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8</xdr:col>
      <xdr:colOff>9525</xdr:colOff>
      <xdr:row>191</xdr:row>
      <xdr:rowOff>9525</xdr:rowOff>
    </xdr:from>
    <xdr:to>
      <xdr:col>11</xdr:col>
      <xdr:colOff>0</xdr:colOff>
      <xdr:row>192</xdr:row>
      <xdr:rowOff>0</xdr:rowOff>
    </xdr:to>
    <xdr:sp macro="" textlink="">
      <xdr:nvSpPr>
        <xdr:cNvPr id="117" name="Double Bracket 116"/>
        <xdr:cNvSpPr/>
      </xdr:nvSpPr>
      <xdr:spPr>
        <a:xfrm>
          <a:off x="3486150" y="35642550"/>
          <a:ext cx="1800225" cy="1809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11</xdr:col>
      <xdr:colOff>85726</xdr:colOff>
      <xdr:row>193</xdr:row>
      <xdr:rowOff>47625</xdr:rowOff>
    </xdr:from>
    <xdr:to>
      <xdr:col>11</xdr:col>
      <xdr:colOff>161926</xdr:colOff>
      <xdr:row>193</xdr:row>
      <xdr:rowOff>152400</xdr:rowOff>
    </xdr:to>
    <xdr:cxnSp macro="">
      <xdr:nvCxnSpPr>
        <xdr:cNvPr id="118" name="Straight Connector 117"/>
        <xdr:cNvCxnSpPr/>
      </xdr:nvCxnSpPr>
      <xdr:spPr>
        <a:xfrm rot="5400000" flipH="1" flipV="1">
          <a:off x="5357813" y="36075938"/>
          <a:ext cx="104775" cy="762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193</xdr:row>
      <xdr:rowOff>1</xdr:rowOff>
    </xdr:from>
    <xdr:to>
      <xdr:col>6</xdr:col>
      <xdr:colOff>419100</xdr:colOff>
      <xdr:row>194</xdr:row>
      <xdr:rowOff>19051</xdr:rowOff>
    </xdr:to>
    <xdr:sp macro="" textlink="">
      <xdr:nvSpPr>
        <xdr:cNvPr id="119" name="Double Bracket 118"/>
        <xdr:cNvSpPr/>
      </xdr:nvSpPr>
      <xdr:spPr>
        <a:xfrm>
          <a:off x="1771650" y="36014026"/>
          <a:ext cx="1228725" cy="2095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7</xdr:col>
      <xdr:colOff>409575</xdr:colOff>
      <xdr:row>193</xdr:row>
      <xdr:rowOff>9525</xdr:rowOff>
    </xdr:from>
    <xdr:to>
      <xdr:col>11</xdr:col>
      <xdr:colOff>0</xdr:colOff>
      <xdr:row>194</xdr:row>
      <xdr:rowOff>0</xdr:rowOff>
    </xdr:to>
    <xdr:sp macro="" textlink="">
      <xdr:nvSpPr>
        <xdr:cNvPr id="120" name="Double Bracket 119"/>
        <xdr:cNvSpPr/>
      </xdr:nvSpPr>
      <xdr:spPr>
        <a:xfrm>
          <a:off x="3438525" y="36023550"/>
          <a:ext cx="1847850" cy="1809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8</xdr:col>
      <xdr:colOff>76200</xdr:colOff>
      <xdr:row>198</xdr:row>
      <xdr:rowOff>104775</xdr:rowOff>
    </xdr:from>
    <xdr:to>
      <xdr:col>10</xdr:col>
      <xdr:colOff>352425</xdr:colOff>
      <xdr:row>198</xdr:row>
      <xdr:rowOff>106363</xdr:rowOff>
    </xdr:to>
    <xdr:cxnSp macro="">
      <xdr:nvCxnSpPr>
        <xdr:cNvPr id="121" name="Straight Connector 120"/>
        <xdr:cNvCxnSpPr/>
      </xdr:nvCxnSpPr>
      <xdr:spPr>
        <a:xfrm>
          <a:off x="3552825" y="37071300"/>
          <a:ext cx="15811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201</xdr:row>
      <xdr:rowOff>104775</xdr:rowOff>
    </xdr:from>
    <xdr:to>
      <xdr:col>10</xdr:col>
      <xdr:colOff>352425</xdr:colOff>
      <xdr:row>201</xdr:row>
      <xdr:rowOff>106363</xdr:rowOff>
    </xdr:to>
    <xdr:cxnSp macro="">
      <xdr:nvCxnSpPr>
        <xdr:cNvPr id="122" name="Straight Connector 121"/>
        <xdr:cNvCxnSpPr/>
      </xdr:nvCxnSpPr>
      <xdr:spPr>
        <a:xfrm>
          <a:off x="3552825" y="37671375"/>
          <a:ext cx="15811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206</xdr:row>
      <xdr:rowOff>85725</xdr:rowOff>
    </xdr:from>
    <xdr:to>
      <xdr:col>7</xdr:col>
      <xdr:colOff>171450</xdr:colOff>
      <xdr:row>206</xdr:row>
      <xdr:rowOff>87313</xdr:rowOff>
    </xdr:to>
    <xdr:cxnSp macro="">
      <xdr:nvCxnSpPr>
        <xdr:cNvPr id="123" name="Straight Connector 122"/>
        <xdr:cNvCxnSpPr/>
      </xdr:nvCxnSpPr>
      <xdr:spPr>
        <a:xfrm>
          <a:off x="857250" y="38633400"/>
          <a:ext cx="23431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210</xdr:row>
      <xdr:rowOff>85725</xdr:rowOff>
    </xdr:from>
    <xdr:to>
      <xdr:col>7</xdr:col>
      <xdr:colOff>171450</xdr:colOff>
      <xdr:row>210</xdr:row>
      <xdr:rowOff>87313</xdr:rowOff>
    </xdr:to>
    <xdr:cxnSp macro="">
      <xdr:nvCxnSpPr>
        <xdr:cNvPr id="124" name="Straight Connector 123"/>
        <xdr:cNvCxnSpPr/>
      </xdr:nvCxnSpPr>
      <xdr:spPr>
        <a:xfrm>
          <a:off x="857250" y="39423975"/>
          <a:ext cx="23431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214</xdr:row>
      <xdr:rowOff>171450</xdr:rowOff>
    </xdr:from>
    <xdr:to>
      <xdr:col>12</xdr:col>
      <xdr:colOff>438149</xdr:colOff>
      <xdr:row>215</xdr:row>
      <xdr:rowOff>180975</xdr:rowOff>
    </xdr:to>
    <xdr:sp macro="" textlink="">
      <xdr:nvSpPr>
        <xdr:cNvPr id="125" name="Double Bracket 124"/>
        <xdr:cNvSpPr/>
      </xdr:nvSpPr>
      <xdr:spPr>
        <a:xfrm>
          <a:off x="2571750" y="40300275"/>
          <a:ext cx="3790949" cy="2000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114300</xdr:colOff>
      <xdr:row>216</xdr:row>
      <xdr:rowOff>76200</xdr:rowOff>
    </xdr:from>
    <xdr:to>
      <xdr:col>13</xdr:col>
      <xdr:colOff>438150</xdr:colOff>
      <xdr:row>216</xdr:row>
      <xdr:rowOff>77788</xdr:rowOff>
    </xdr:to>
    <xdr:cxnSp macro="">
      <xdr:nvCxnSpPr>
        <xdr:cNvPr id="126" name="Straight Connector 125"/>
        <xdr:cNvCxnSpPr/>
      </xdr:nvCxnSpPr>
      <xdr:spPr>
        <a:xfrm>
          <a:off x="876300" y="40586025"/>
          <a:ext cx="60769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217</xdr:row>
      <xdr:rowOff>9525</xdr:rowOff>
    </xdr:from>
    <xdr:to>
      <xdr:col>8</xdr:col>
      <xdr:colOff>495300</xdr:colOff>
      <xdr:row>218</xdr:row>
      <xdr:rowOff>28575</xdr:rowOff>
    </xdr:to>
    <xdr:sp macro="" textlink="">
      <xdr:nvSpPr>
        <xdr:cNvPr id="127" name="Double Bracket 126"/>
        <xdr:cNvSpPr/>
      </xdr:nvSpPr>
      <xdr:spPr>
        <a:xfrm>
          <a:off x="2571750" y="40709850"/>
          <a:ext cx="1400175" cy="2381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5</xdr:col>
      <xdr:colOff>419099</xdr:colOff>
      <xdr:row>219</xdr:row>
      <xdr:rowOff>0</xdr:rowOff>
    </xdr:from>
    <xdr:to>
      <xdr:col>12</xdr:col>
      <xdr:colOff>438149</xdr:colOff>
      <xdr:row>219</xdr:row>
      <xdr:rowOff>180975</xdr:rowOff>
    </xdr:to>
    <xdr:sp macro="" textlink="">
      <xdr:nvSpPr>
        <xdr:cNvPr id="128" name="Double Bracket 127"/>
        <xdr:cNvSpPr/>
      </xdr:nvSpPr>
      <xdr:spPr>
        <a:xfrm>
          <a:off x="2571749" y="41109900"/>
          <a:ext cx="3790950" cy="1809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114300</xdr:colOff>
      <xdr:row>220</xdr:row>
      <xdr:rowOff>76200</xdr:rowOff>
    </xdr:from>
    <xdr:to>
      <xdr:col>13</xdr:col>
      <xdr:colOff>438150</xdr:colOff>
      <xdr:row>220</xdr:row>
      <xdr:rowOff>77788</xdr:rowOff>
    </xdr:to>
    <xdr:cxnSp macro="">
      <xdr:nvCxnSpPr>
        <xdr:cNvPr id="129" name="Straight Connector 128"/>
        <xdr:cNvCxnSpPr/>
      </xdr:nvCxnSpPr>
      <xdr:spPr>
        <a:xfrm>
          <a:off x="876300" y="41376600"/>
          <a:ext cx="60769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221</xdr:row>
      <xdr:rowOff>9525</xdr:rowOff>
    </xdr:from>
    <xdr:to>
      <xdr:col>8</xdr:col>
      <xdr:colOff>495300</xdr:colOff>
      <xdr:row>222</xdr:row>
      <xdr:rowOff>28575</xdr:rowOff>
    </xdr:to>
    <xdr:sp macro="" textlink="">
      <xdr:nvSpPr>
        <xdr:cNvPr id="130" name="Double Bracket 129"/>
        <xdr:cNvSpPr/>
      </xdr:nvSpPr>
      <xdr:spPr>
        <a:xfrm>
          <a:off x="2571750" y="41500425"/>
          <a:ext cx="1400175" cy="2381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6</xdr:col>
      <xdr:colOff>123825</xdr:colOff>
      <xdr:row>230</xdr:row>
      <xdr:rowOff>95250</xdr:rowOff>
    </xdr:from>
    <xdr:to>
      <xdr:col>8</xdr:col>
      <xdr:colOff>371475</xdr:colOff>
      <xdr:row>230</xdr:row>
      <xdr:rowOff>96838</xdr:rowOff>
    </xdr:to>
    <xdr:cxnSp macro="">
      <xdr:nvCxnSpPr>
        <xdr:cNvPr id="131" name="Straight Connector 130"/>
        <xdr:cNvCxnSpPr/>
      </xdr:nvCxnSpPr>
      <xdr:spPr>
        <a:xfrm>
          <a:off x="2705100" y="43329225"/>
          <a:ext cx="1143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229</xdr:row>
      <xdr:rowOff>0</xdr:rowOff>
    </xdr:from>
    <xdr:to>
      <xdr:col>9</xdr:col>
      <xdr:colOff>0</xdr:colOff>
      <xdr:row>232</xdr:row>
      <xdr:rowOff>19050</xdr:rowOff>
    </xdr:to>
    <xdr:sp macro="" textlink="">
      <xdr:nvSpPr>
        <xdr:cNvPr id="132" name="Double Bracket 131"/>
        <xdr:cNvSpPr/>
      </xdr:nvSpPr>
      <xdr:spPr>
        <a:xfrm>
          <a:off x="762000" y="43043475"/>
          <a:ext cx="3219450" cy="5905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3</xdr:col>
      <xdr:colOff>276224</xdr:colOff>
      <xdr:row>228</xdr:row>
      <xdr:rowOff>171450</xdr:rowOff>
    </xdr:from>
    <xdr:to>
      <xdr:col>8</xdr:col>
      <xdr:colOff>304800</xdr:colOff>
      <xdr:row>231</xdr:row>
      <xdr:rowOff>152400</xdr:rowOff>
    </xdr:to>
    <xdr:grpSp>
      <xdr:nvGrpSpPr>
        <xdr:cNvPr id="133" name="Group 132"/>
        <xdr:cNvGrpSpPr/>
      </xdr:nvGrpSpPr>
      <xdr:grpSpPr>
        <a:xfrm>
          <a:off x="1676959" y="44042479"/>
          <a:ext cx="2146488" cy="552450"/>
          <a:chOff x="1552574" y="42043350"/>
          <a:chExt cx="2105026" cy="552450"/>
        </a:xfrm>
      </xdr:grpSpPr>
      <xdr:cxnSp macro="">
        <xdr:nvCxnSpPr>
          <xdr:cNvPr id="134" name="Straight Connector 133"/>
          <xdr:cNvCxnSpPr/>
        </xdr:nvCxnSpPr>
        <xdr:spPr>
          <a:xfrm rot="16200000" flipH="1">
            <a:off x="1481137" y="42476737"/>
            <a:ext cx="190500" cy="476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" name="Straight Connector 134"/>
          <xdr:cNvCxnSpPr/>
        </xdr:nvCxnSpPr>
        <xdr:spPr>
          <a:xfrm rot="5400000" flipH="1" flipV="1">
            <a:off x="1376363" y="42276713"/>
            <a:ext cx="542925" cy="9525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" name="Straight Connector 135"/>
          <xdr:cNvCxnSpPr/>
        </xdr:nvCxnSpPr>
        <xdr:spPr>
          <a:xfrm>
            <a:off x="1695450" y="42043350"/>
            <a:ext cx="19621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123825</xdr:colOff>
      <xdr:row>234</xdr:row>
      <xdr:rowOff>95250</xdr:rowOff>
    </xdr:from>
    <xdr:to>
      <xdr:col>8</xdr:col>
      <xdr:colOff>371475</xdr:colOff>
      <xdr:row>234</xdr:row>
      <xdr:rowOff>96838</xdr:rowOff>
    </xdr:to>
    <xdr:cxnSp macro="">
      <xdr:nvCxnSpPr>
        <xdr:cNvPr id="137" name="Straight Connector 136"/>
        <xdr:cNvCxnSpPr/>
      </xdr:nvCxnSpPr>
      <xdr:spPr>
        <a:xfrm>
          <a:off x="2705100" y="44091225"/>
          <a:ext cx="1143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233</xdr:row>
      <xdr:rowOff>0</xdr:rowOff>
    </xdr:from>
    <xdr:to>
      <xdr:col>9</xdr:col>
      <xdr:colOff>0</xdr:colOff>
      <xdr:row>236</xdr:row>
      <xdr:rowOff>19050</xdr:rowOff>
    </xdr:to>
    <xdr:sp macro="" textlink="">
      <xdr:nvSpPr>
        <xdr:cNvPr id="138" name="Double Bracket 137"/>
        <xdr:cNvSpPr/>
      </xdr:nvSpPr>
      <xdr:spPr>
        <a:xfrm>
          <a:off x="762000" y="43805475"/>
          <a:ext cx="3219450" cy="5905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3</xdr:col>
      <xdr:colOff>276224</xdr:colOff>
      <xdr:row>232</xdr:row>
      <xdr:rowOff>171450</xdr:rowOff>
    </xdr:from>
    <xdr:to>
      <xdr:col>8</xdr:col>
      <xdr:colOff>304800</xdr:colOff>
      <xdr:row>235</xdr:row>
      <xdr:rowOff>152400</xdr:rowOff>
    </xdr:to>
    <xdr:grpSp>
      <xdr:nvGrpSpPr>
        <xdr:cNvPr id="139" name="Group 138"/>
        <xdr:cNvGrpSpPr/>
      </xdr:nvGrpSpPr>
      <xdr:grpSpPr>
        <a:xfrm>
          <a:off x="1676959" y="44804479"/>
          <a:ext cx="2146488" cy="552450"/>
          <a:chOff x="1552574" y="42043350"/>
          <a:chExt cx="2105026" cy="552450"/>
        </a:xfrm>
      </xdr:grpSpPr>
      <xdr:cxnSp macro="">
        <xdr:nvCxnSpPr>
          <xdr:cNvPr id="140" name="Straight Connector 139"/>
          <xdr:cNvCxnSpPr/>
        </xdr:nvCxnSpPr>
        <xdr:spPr>
          <a:xfrm rot="16200000" flipH="1">
            <a:off x="1481137" y="42476737"/>
            <a:ext cx="190500" cy="476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" name="Straight Connector 140"/>
          <xdr:cNvCxnSpPr/>
        </xdr:nvCxnSpPr>
        <xdr:spPr>
          <a:xfrm rot="5400000" flipH="1" flipV="1">
            <a:off x="1376363" y="42276713"/>
            <a:ext cx="542925" cy="9525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" name="Straight Connector 141"/>
          <xdr:cNvCxnSpPr/>
        </xdr:nvCxnSpPr>
        <xdr:spPr>
          <a:xfrm>
            <a:off x="1695450" y="42043350"/>
            <a:ext cx="19621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239</xdr:row>
      <xdr:rowOff>9525</xdr:rowOff>
    </xdr:from>
    <xdr:to>
      <xdr:col>9</xdr:col>
      <xdr:colOff>9525</xdr:colOff>
      <xdr:row>240</xdr:row>
      <xdr:rowOff>0</xdr:rowOff>
    </xdr:to>
    <xdr:sp macro="" textlink="">
      <xdr:nvSpPr>
        <xdr:cNvPr id="143" name="Double Bracket 142"/>
        <xdr:cNvSpPr/>
      </xdr:nvSpPr>
      <xdr:spPr>
        <a:xfrm>
          <a:off x="762000" y="44958000"/>
          <a:ext cx="3228975" cy="1809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9525</xdr:colOff>
      <xdr:row>240</xdr:row>
      <xdr:rowOff>95250</xdr:rowOff>
    </xdr:from>
    <xdr:to>
      <xdr:col>8</xdr:col>
      <xdr:colOff>438150</xdr:colOff>
      <xdr:row>240</xdr:row>
      <xdr:rowOff>96838</xdr:rowOff>
    </xdr:to>
    <xdr:cxnSp macro="">
      <xdr:nvCxnSpPr>
        <xdr:cNvPr id="144" name="Straight Connector 143"/>
        <xdr:cNvCxnSpPr/>
      </xdr:nvCxnSpPr>
      <xdr:spPr>
        <a:xfrm>
          <a:off x="771525" y="45234225"/>
          <a:ext cx="31432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243</xdr:row>
      <xdr:rowOff>9525</xdr:rowOff>
    </xdr:from>
    <xdr:to>
      <xdr:col>9</xdr:col>
      <xdr:colOff>9525</xdr:colOff>
      <xdr:row>244</xdr:row>
      <xdr:rowOff>0</xdr:rowOff>
    </xdr:to>
    <xdr:sp macro="" textlink="">
      <xdr:nvSpPr>
        <xdr:cNvPr id="145" name="Double Bracket 144"/>
        <xdr:cNvSpPr/>
      </xdr:nvSpPr>
      <xdr:spPr>
        <a:xfrm>
          <a:off x="762000" y="45720000"/>
          <a:ext cx="3228975" cy="1809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9525</xdr:colOff>
      <xdr:row>244</xdr:row>
      <xdr:rowOff>95250</xdr:rowOff>
    </xdr:from>
    <xdr:to>
      <xdr:col>8</xdr:col>
      <xdr:colOff>438150</xdr:colOff>
      <xdr:row>244</xdr:row>
      <xdr:rowOff>96838</xdr:rowOff>
    </xdr:to>
    <xdr:cxnSp macro="">
      <xdr:nvCxnSpPr>
        <xdr:cNvPr id="146" name="Straight Connector 145"/>
        <xdr:cNvCxnSpPr/>
      </xdr:nvCxnSpPr>
      <xdr:spPr>
        <a:xfrm>
          <a:off x="771525" y="45996225"/>
          <a:ext cx="31432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267</xdr:row>
      <xdr:rowOff>76200</xdr:rowOff>
    </xdr:from>
    <xdr:to>
      <xdr:col>6</xdr:col>
      <xdr:colOff>304800</xdr:colOff>
      <xdr:row>267</xdr:row>
      <xdr:rowOff>77788</xdr:rowOff>
    </xdr:to>
    <xdr:cxnSp macro="">
      <xdr:nvCxnSpPr>
        <xdr:cNvPr id="147" name="Straight Connector 146"/>
        <xdr:cNvCxnSpPr/>
      </xdr:nvCxnSpPr>
      <xdr:spPr>
        <a:xfrm>
          <a:off x="933450" y="47310675"/>
          <a:ext cx="195262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271</xdr:row>
      <xdr:rowOff>76200</xdr:rowOff>
    </xdr:from>
    <xdr:to>
      <xdr:col>6</xdr:col>
      <xdr:colOff>304800</xdr:colOff>
      <xdr:row>271</xdr:row>
      <xdr:rowOff>77788</xdr:rowOff>
    </xdr:to>
    <xdr:cxnSp macro="">
      <xdr:nvCxnSpPr>
        <xdr:cNvPr id="148" name="Straight Connector 147"/>
        <xdr:cNvCxnSpPr/>
      </xdr:nvCxnSpPr>
      <xdr:spPr>
        <a:xfrm>
          <a:off x="933450" y="48072675"/>
          <a:ext cx="195262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278</xdr:row>
      <xdr:rowOff>66675</xdr:rowOff>
    </xdr:from>
    <xdr:to>
      <xdr:col>5</xdr:col>
      <xdr:colOff>152400</xdr:colOff>
      <xdr:row>280</xdr:row>
      <xdr:rowOff>142875</xdr:rowOff>
    </xdr:to>
    <xdr:sp macro="" textlink="">
      <xdr:nvSpPr>
        <xdr:cNvPr id="149" name="Right Brace 148"/>
        <xdr:cNvSpPr/>
      </xdr:nvSpPr>
      <xdr:spPr>
        <a:xfrm>
          <a:off x="2200275" y="49396650"/>
          <a:ext cx="104775" cy="4572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114300</xdr:colOff>
      <xdr:row>285</xdr:row>
      <xdr:rowOff>85725</xdr:rowOff>
    </xdr:from>
    <xdr:to>
      <xdr:col>9</xdr:col>
      <xdr:colOff>561975</xdr:colOff>
      <xdr:row>285</xdr:row>
      <xdr:rowOff>87313</xdr:rowOff>
    </xdr:to>
    <xdr:cxnSp macro="">
      <xdr:nvCxnSpPr>
        <xdr:cNvPr id="150" name="Straight Connector 149"/>
        <xdr:cNvCxnSpPr/>
      </xdr:nvCxnSpPr>
      <xdr:spPr>
        <a:xfrm>
          <a:off x="876300" y="50777775"/>
          <a:ext cx="366712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289</xdr:row>
      <xdr:rowOff>85725</xdr:rowOff>
    </xdr:from>
    <xdr:to>
      <xdr:col>9</xdr:col>
      <xdr:colOff>561975</xdr:colOff>
      <xdr:row>289</xdr:row>
      <xdr:rowOff>87313</xdr:rowOff>
    </xdr:to>
    <xdr:cxnSp macro="">
      <xdr:nvCxnSpPr>
        <xdr:cNvPr id="151" name="Straight Connector 150"/>
        <xdr:cNvCxnSpPr/>
      </xdr:nvCxnSpPr>
      <xdr:spPr>
        <a:xfrm>
          <a:off x="876300" y="51568350"/>
          <a:ext cx="366712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66676</xdr:colOff>
      <xdr:row>0</xdr:row>
      <xdr:rowOff>66675</xdr:rowOff>
    </xdr:from>
    <xdr:to>
      <xdr:col>2</xdr:col>
      <xdr:colOff>188384</xdr:colOff>
      <xdr:row>3</xdr:row>
      <xdr:rowOff>121920</xdr:rowOff>
    </xdr:to>
    <xdr:pic>
      <xdr:nvPicPr>
        <xdr:cNvPr id="152" name="Picture 151" descr="5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6" y="66675"/>
          <a:ext cx="939737" cy="637951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>
    <xdr:from>
      <xdr:col>2</xdr:col>
      <xdr:colOff>285750</xdr:colOff>
      <xdr:row>2</xdr:row>
      <xdr:rowOff>28576</xdr:rowOff>
    </xdr:from>
    <xdr:to>
      <xdr:col>7</xdr:col>
      <xdr:colOff>114300</xdr:colOff>
      <xdr:row>3</xdr:row>
      <xdr:rowOff>123826</xdr:rowOff>
    </xdr:to>
    <xdr:sp macro="" textlink="">
      <xdr:nvSpPr>
        <xdr:cNvPr id="153" name="Rectangle 152"/>
        <xdr:cNvSpPr/>
      </xdr:nvSpPr>
      <xdr:spPr>
        <a:xfrm>
          <a:off x="1103779" y="420782"/>
          <a:ext cx="2260227" cy="2857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1100"/>
            <a:t>Program Hitung Pondasi Tapak</a:t>
          </a:r>
        </a:p>
      </xdr:txBody>
    </xdr:sp>
    <xdr:clientData/>
  </xdr:twoCellAnchor>
  <xdr:twoCellAnchor>
    <xdr:from>
      <xdr:col>14</xdr:col>
      <xdr:colOff>15588</xdr:colOff>
      <xdr:row>0</xdr:row>
      <xdr:rowOff>13475</xdr:rowOff>
    </xdr:from>
    <xdr:to>
      <xdr:col>17</xdr:col>
      <xdr:colOff>1703</xdr:colOff>
      <xdr:row>0</xdr:row>
      <xdr:rowOff>15282</xdr:rowOff>
    </xdr:to>
    <xdr:cxnSp macro="">
      <xdr:nvCxnSpPr>
        <xdr:cNvPr id="154" name="Straight Connector 153"/>
        <xdr:cNvCxnSpPr/>
      </xdr:nvCxnSpPr>
      <xdr:spPr>
        <a:xfrm>
          <a:off x="7140288" y="13475"/>
          <a:ext cx="1881590" cy="1807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21062</xdr:colOff>
      <xdr:row>0</xdr:row>
      <xdr:rowOff>9453</xdr:rowOff>
    </xdr:from>
    <xdr:to>
      <xdr:col>14</xdr:col>
      <xdr:colOff>22713</xdr:colOff>
      <xdr:row>2</xdr:row>
      <xdr:rowOff>185267</xdr:rowOff>
    </xdr:to>
    <xdr:cxnSp macro="">
      <xdr:nvCxnSpPr>
        <xdr:cNvPr id="155" name="Straight Connector 154"/>
        <xdr:cNvCxnSpPr/>
      </xdr:nvCxnSpPr>
      <xdr:spPr>
        <a:xfrm rot="5400000">
          <a:off x="6863418" y="291797"/>
          <a:ext cx="566339" cy="1651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15588</xdr:colOff>
      <xdr:row>2</xdr:row>
      <xdr:rowOff>184362</xdr:rowOff>
    </xdr:from>
    <xdr:to>
      <xdr:col>17</xdr:col>
      <xdr:colOff>1703</xdr:colOff>
      <xdr:row>2</xdr:row>
      <xdr:rowOff>186169</xdr:rowOff>
    </xdr:to>
    <xdr:cxnSp macro="">
      <xdr:nvCxnSpPr>
        <xdr:cNvPr id="156" name="Straight Connector 155"/>
        <xdr:cNvCxnSpPr/>
      </xdr:nvCxnSpPr>
      <xdr:spPr>
        <a:xfrm>
          <a:off x="7140288" y="574887"/>
          <a:ext cx="1881590" cy="1807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2677</xdr:colOff>
      <xdr:row>0</xdr:row>
      <xdr:rowOff>9454</xdr:rowOff>
    </xdr:from>
    <xdr:to>
      <xdr:col>17</xdr:col>
      <xdr:colOff>4328</xdr:colOff>
      <xdr:row>2</xdr:row>
      <xdr:rowOff>185268</xdr:rowOff>
    </xdr:to>
    <xdr:cxnSp macro="">
      <xdr:nvCxnSpPr>
        <xdr:cNvPr id="157" name="Straight Connector 156"/>
        <xdr:cNvCxnSpPr/>
      </xdr:nvCxnSpPr>
      <xdr:spPr>
        <a:xfrm rot="5400000">
          <a:off x="8740508" y="291798"/>
          <a:ext cx="566339" cy="1651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82085</xdr:colOff>
      <xdr:row>56</xdr:row>
      <xdr:rowOff>38893</xdr:rowOff>
    </xdr:from>
    <xdr:to>
      <xdr:col>6</xdr:col>
      <xdr:colOff>381000</xdr:colOff>
      <xdr:row>70</xdr:row>
      <xdr:rowOff>11206</xdr:rowOff>
    </xdr:to>
    <xdr:grpSp>
      <xdr:nvGrpSpPr>
        <xdr:cNvPr id="163" name="Group 162"/>
        <xdr:cNvGrpSpPr/>
      </xdr:nvGrpSpPr>
      <xdr:grpSpPr>
        <a:xfrm>
          <a:off x="82085" y="10874981"/>
          <a:ext cx="2887474" cy="2639313"/>
          <a:chOff x="82085" y="10874981"/>
          <a:chExt cx="3077974" cy="2076451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2" name="Rectangle 1"/>
          <xdr:cNvSpPr/>
        </xdr:nvSpPr>
        <xdr:spPr>
          <a:xfrm>
            <a:off x="401243" y="11121838"/>
            <a:ext cx="2452906" cy="1600200"/>
          </a:xfrm>
          <a:prstGeom prst="rect">
            <a:avLst/>
          </a:prstGeom>
          <a:grpFill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11" name="Rectangle 10"/>
          <xdr:cNvSpPr/>
        </xdr:nvSpPr>
        <xdr:spPr>
          <a:xfrm>
            <a:off x="1372820" y="11741672"/>
            <a:ext cx="457741" cy="374277"/>
          </a:xfrm>
          <a:prstGeom prst="rect">
            <a:avLst/>
          </a:prstGeom>
          <a:solidFill>
            <a:sysClr val="window" lastClr="FFFFFF"/>
          </a:solidFill>
          <a:ln>
            <a:bevel/>
          </a:ln>
          <a:effectLst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cxnSp macro="">
        <xdr:nvCxnSpPr>
          <xdr:cNvPr id="12" name="Straight Connector 11"/>
          <xdr:cNvCxnSpPr/>
        </xdr:nvCxnSpPr>
        <xdr:spPr>
          <a:xfrm>
            <a:off x="401243" y="10940863"/>
            <a:ext cx="840128" cy="1588"/>
          </a:xfrm>
          <a:prstGeom prst="line">
            <a:avLst/>
          </a:prstGeom>
          <a:grpFill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>
            <a:off x="1899866" y="10931338"/>
            <a:ext cx="944723" cy="1588"/>
          </a:xfrm>
          <a:prstGeom prst="line">
            <a:avLst/>
          </a:prstGeom>
          <a:grpFill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/>
          <xdr:cNvCxnSpPr/>
        </xdr:nvCxnSpPr>
        <xdr:spPr>
          <a:xfrm rot="5400000">
            <a:off x="329806" y="10945622"/>
            <a:ext cx="142875" cy="1594"/>
          </a:xfrm>
          <a:prstGeom prst="line">
            <a:avLst/>
          </a:prstGeom>
          <a:grpFill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/>
          <xdr:cNvCxnSpPr/>
        </xdr:nvCxnSpPr>
        <xdr:spPr>
          <a:xfrm rot="5400000">
            <a:off x="2773152" y="10945623"/>
            <a:ext cx="142875" cy="1594"/>
          </a:xfrm>
          <a:prstGeom prst="line">
            <a:avLst/>
          </a:prstGeom>
          <a:grpFill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 rot="5400000">
            <a:off x="2745444" y="11450447"/>
            <a:ext cx="676275" cy="1594"/>
          </a:xfrm>
          <a:prstGeom prst="line">
            <a:avLst/>
          </a:prstGeom>
          <a:grpFill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rot="5400000">
            <a:off x="2693022" y="12398185"/>
            <a:ext cx="762000" cy="1594"/>
          </a:xfrm>
          <a:prstGeom prst="line">
            <a:avLst/>
          </a:prstGeom>
          <a:grpFill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/>
          <xdr:cNvCxnSpPr/>
        </xdr:nvCxnSpPr>
        <xdr:spPr>
          <a:xfrm>
            <a:off x="3007104" y="11150413"/>
            <a:ext cx="152955" cy="1588"/>
          </a:xfrm>
          <a:prstGeom prst="line">
            <a:avLst/>
          </a:prstGeom>
          <a:grpFill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>
            <a:off x="2997544" y="12741088"/>
            <a:ext cx="152955" cy="1588"/>
          </a:xfrm>
          <a:prstGeom prst="line">
            <a:avLst/>
          </a:prstGeom>
          <a:grpFill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 rot="5400000">
            <a:off x="898880" y="12498197"/>
            <a:ext cx="904875" cy="1594"/>
          </a:xfrm>
          <a:prstGeom prst="line">
            <a:avLst/>
          </a:prstGeom>
          <a:grpFill/>
          <a:ln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22"/>
          <xdr:cNvCxnSpPr/>
        </xdr:nvCxnSpPr>
        <xdr:spPr>
          <a:xfrm rot="10800000">
            <a:off x="82085" y="12118042"/>
            <a:ext cx="1140167" cy="1588"/>
          </a:xfrm>
          <a:prstGeom prst="line">
            <a:avLst/>
          </a:prstGeom>
          <a:grpFill/>
          <a:ln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Straight Connector 23"/>
          <xdr:cNvCxnSpPr/>
        </xdr:nvCxnSpPr>
        <xdr:spPr>
          <a:xfrm rot="5400000">
            <a:off x="-77483" y="11923896"/>
            <a:ext cx="409575" cy="1594"/>
          </a:xfrm>
          <a:prstGeom prst="line">
            <a:avLst/>
          </a:prstGeom>
          <a:grpFill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Straight Connector 24"/>
          <xdr:cNvCxnSpPr/>
        </xdr:nvCxnSpPr>
        <xdr:spPr>
          <a:xfrm>
            <a:off x="1241371" y="12811307"/>
            <a:ext cx="696734" cy="1588"/>
          </a:xfrm>
          <a:prstGeom prst="line">
            <a:avLst/>
          </a:prstGeom>
          <a:grpFill/>
          <a:ln w="952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0" name="Straight Connector 159"/>
          <xdr:cNvCxnSpPr/>
        </xdr:nvCxnSpPr>
        <xdr:spPr>
          <a:xfrm rot="5400000">
            <a:off x="1382951" y="12498198"/>
            <a:ext cx="904875" cy="1594"/>
          </a:xfrm>
          <a:prstGeom prst="line">
            <a:avLst/>
          </a:prstGeom>
          <a:grpFill/>
          <a:ln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493059</xdr:colOff>
      <xdr:row>76</xdr:row>
      <xdr:rowOff>12000</xdr:rowOff>
    </xdr:from>
    <xdr:to>
      <xdr:col>6</xdr:col>
      <xdr:colOff>302559</xdr:colOff>
      <xdr:row>90</xdr:row>
      <xdr:rowOff>24848</xdr:rowOff>
    </xdr:to>
    <xdr:grpSp>
      <xdr:nvGrpSpPr>
        <xdr:cNvPr id="251" name="Group 250"/>
        <xdr:cNvGrpSpPr/>
      </xdr:nvGrpSpPr>
      <xdr:grpSpPr>
        <a:xfrm>
          <a:off x="493059" y="14658088"/>
          <a:ext cx="2398059" cy="2679848"/>
          <a:chOff x="493059" y="14658088"/>
          <a:chExt cx="2398059" cy="2679848"/>
        </a:xfrm>
      </xdr:grpSpPr>
      <xdr:grpSp>
        <xdr:nvGrpSpPr>
          <xdr:cNvPr id="164" name="Group 163"/>
          <xdr:cNvGrpSpPr/>
        </xdr:nvGrpSpPr>
        <xdr:grpSpPr>
          <a:xfrm>
            <a:off x="497542" y="14901580"/>
            <a:ext cx="2198034" cy="1362075"/>
            <a:chOff x="419100" y="7905750"/>
            <a:chExt cx="1885950" cy="1188346"/>
          </a:xfrm>
        </xdr:grpSpPr>
        <xdr:cxnSp macro="">
          <xdr:nvCxnSpPr>
            <xdr:cNvPr id="165" name="Straight Connector 164"/>
            <xdr:cNvCxnSpPr/>
          </xdr:nvCxnSpPr>
          <xdr:spPr>
            <a:xfrm>
              <a:off x="1190625" y="7905750"/>
              <a:ext cx="333375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6" name="Straight Connector 165"/>
            <xdr:cNvCxnSpPr/>
          </xdr:nvCxnSpPr>
          <xdr:spPr>
            <a:xfrm rot="5400000">
              <a:off x="1133475" y="8305800"/>
              <a:ext cx="800100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7" name="Straight Connector 166"/>
            <xdr:cNvCxnSpPr/>
          </xdr:nvCxnSpPr>
          <xdr:spPr>
            <a:xfrm rot="5400000">
              <a:off x="790575" y="8305800"/>
              <a:ext cx="800100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8" name="Straight Connector 167"/>
            <xdr:cNvCxnSpPr/>
          </xdr:nvCxnSpPr>
          <xdr:spPr>
            <a:xfrm rot="10800000">
              <a:off x="428625" y="8696325"/>
              <a:ext cx="762000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9" name="Straight Connector 168"/>
            <xdr:cNvCxnSpPr/>
          </xdr:nvCxnSpPr>
          <xdr:spPr>
            <a:xfrm rot="10800000">
              <a:off x="1533525" y="8705850"/>
              <a:ext cx="762000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0" name="Straight Connector 169"/>
            <xdr:cNvCxnSpPr/>
          </xdr:nvCxnSpPr>
          <xdr:spPr>
            <a:xfrm rot="5400000">
              <a:off x="233056" y="8888517"/>
              <a:ext cx="390525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1" name="Straight Connector 170"/>
            <xdr:cNvCxnSpPr/>
          </xdr:nvCxnSpPr>
          <xdr:spPr>
            <a:xfrm rot="5400000">
              <a:off x="2103336" y="8898040"/>
              <a:ext cx="390525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2" name="Straight Connector 171"/>
            <xdr:cNvCxnSpPr/>
          </xdr:nvCxnSpPr>
          <xdr:spPr>
            <a:xfrm>
              <a:off x="419100" y="9086850"/>
              <a:ext cx="1885950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83" name="Flowchart: Manual Input 182"/>
          <xdr:cNvSpPr>
            <a:spLocks noChangeAspect="1"/>
          </xdr:cNvSpPr>
        </xdr:nvSpPr>
        <xdr:spPr>
          <a:xfrm flipV="1">
            <a:off x="517152" y="16640733"/>
            <a:ext cx="2165610" cy="653192"/>
          </a:xfrm>
          <a:prstGeom prst="flowChartManualInpu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cxnSp macro="">
        <xdr:nvCxnSpPr>
          <xdr:cNvPr id="185" name="Straight Arrow Connector 184"/>
          <xdr:cNvCxnSpPr/>
        </xdr:nvCxnSpPr>
        <xdr:spPr>
          <a:xfrm rot="5400000" flipH="1" flipV="1">
            <a:off x="197784" y="16892868"/>
            <a:ext cx="638735" cy="1588"/>
          </a:xfrm>
          <a:prstGeom prst="straightConnector1">
            <a:avLst/>
          </a:prstGeom>
          <a:ln w="19050">
            <a:solidFill>
              <a:srgbClr val="00B05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1" name="Straight Arrow Connector 190"/>
          <xdr:cNvCxnSpPr/>
        </xdr:nvCxnSpPr>
        <xdr:spPr>
          <a:xfrm rot="16200000" flipV="1">
            <a:off x="2291910" y="16950178"/>
            <a:ext cx="774848" cy="668"/>
          </a:xfrm>
          <a:prstGeom prst="straightConnector1">
            <a:avLst/>
          </a:prstGeom>
          <a:ln w="19050">
            <a:solidFill>
              <a:srgbClr val="00B05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15" name="Group 214"/>
          <xdr:cNvGrpSpPr/>
        </xdr:nvGrpSpPr>
        <xdr:grpSpPr>
          <a:xfrm>
            <a:off x="1377530" y="14658088"/>
            <a:ext cx="1334294" cy="144000"/>
            <a:chOff x="1433559" y="14658088"/>
            <a:chExt cx="1468765" cy="144000"/>
          </a:xfrm>
        </xdr:grpSpPr>
        <xdr:cxnSp macro="">
          <xdr:nvCxnSpPr>
            <xdr:cNvPr id="195" name="Straight Connector 194"/>
            <xdr:cNvCxnSpPr/>
          </xdr:nvCxnSpPr>
          <xdr:spPr>
            <a:xfrm>
              <a:off x="1445559" y="14724529"/>
              <a:ext cx="1456765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2" name="Straight Connector 201"/>
            <xdr:cNvCxnSpPr/>
          </xdr:nvCxnSpPr>
          <xdr:spPr>
            <a:xfrm rot="5400000">
              <a:off x="1362353" y="14729294"/>
              <a:ext cx="144000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Straight Connector 211"/>
            <xdr:cNvCxnSpPr/>
          </xdr:nvCxnSpPr>
          <xdr:spPr>
            <a:xfrm rot="5400000">
              <a:off x="1844206" y="14729294"/>
              <a:ext cx="144000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3" name="Straight Connector 212"/>
            <xdr:cNvCxnSpPr/>
          </xdr:nvCxnSpPr>
          <xdr:spPr>
            <a:xfrm rot="5400000">
              <a:off x="2236412" y="14729294"/>
              <a:ext cx="144000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4" name="Straight Connector 213"/>
            <xdr:cNvCxnSpPr/>
          </xdr:nvCxnSpPr>
          <xdr:spPr>
            <a:xfrm rot="5400000">
              <a:off x="2807912" y="14729294"/>
              <a:ext cx="144000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3" name="Group 222"/>
          <xdr:cNvGrpSpPr/>
        </xdr:nvGrpSpPr>
        <xdr:grpSpPr>
          <a:xfrm>
            <a:off x="493059" y="16305352"/>
            <a:ext cx="2202994" cy="100854"/>
            <a:chOff x="493059" y="16261503"/>
            <a:chExt cx="2389109" cy="100854"/>
          </a:xfrm>
        </xdr:grpSpPr>
        <xdr:cxnSp macro="">
          <xdr:nvCxnSpPr>
            <xdr:cNvPr id="219" name="Straight Connector 218"/>
            <xdr:cNvCxnSpPr/>
          </xdr:nvCxnSpPr>
          <xdr:spPr>
            <a:xfrm>
              <a:off x="493059" y="16316739"/>
              <a:ext cx="2382468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1" name="Straight Connector 220"/>
            <xdr:cNvCxnSpPr/>
          </xdr:nvCxnSpPr>
          <xdr:spPr>
            <a:xfrm rot="5400000">
              <a:off x="453839" y="16311136"/>
              <a:ext cx="100853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2" name="Straight Connector 221"/>
            <xdr:cNvCxnSpPr/>
          </xdr:nvCxnSpPr>
          <xdr:spPr>
            <a:xfrm rot="5400000">
              <a:off x="2830947" y="16311137"/>
              <a:ext cx="100853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25" name="Straight Connector 224"/>
          <xdr:cNvCxnSpPr/>
        </xdr:nvCxnSpPr>
        <xdr:spPr>
          <a:xfrm rot="5400000">
            <a:off x="1248189" y="15755958"/>
            <a:ext cx="1822174" cy="1588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7" name="Straight Arrow Connector 226"/>
          <xdr:cNvCxnSpPr/>
        </xdr:nvCxnSpPr>
        <xdr:spPr>
          <a:xfrm rot="5400000" flipH="1" flipV="1">
            <a:off x="1803124" y="16948654"/>
            <a:ext cx="712305" cy="1588"/>
          </a:xfrm>
          <a:prstGeom prst="straightConnector1">
            <a:avLst/>
          </a:prstGeom>
          <a:ln w="19050">
            <a:solidFill>
              <a:srgbClr val="00B05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" name="Straight Connector 239"/>
          <xdr:cNvCxnSpPr/>
        </xdr:nvCxnSpPr>
        <xdr:spPr>
          <a:xfrm rot="5400000">
            <a:off x="1782710" y="15755958"/>
            <a:ext cx="1822174" cy="1588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" name="Straight Connector 241"/>
          <xdr:cNvCxnSpPr/>
        </xdr:nvCxnSpPr>
        <xdr:spPr>
          <a:xfrm>
            <a:off x="537883" y="16203706"/>
            <a:ext cx="2084293" cy="1588"/>
          </a:xfrm>
          <a:prstGeom prst="line">
            <a:avLst/>
          </a:prstGeom>
          <a:ln w="19050">
            <a:solidFill>
              <a:schemeClr val="accent2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50" name="Group 249"/>
          <xdr:cNvGrpSpPr/>
        </xdr:nvGrpSpPr>
        <xdr:grpSpPr>
          <a:xfrm>
            <a:off x="2763369" y="15811500"/>
            <a:ext cx="127749" cy="393000"/>
            <a:chOff x="2953869" y="15811500"/>
            <a:chExt cx="127749" cy="393000"/>
          </a:xfrm>
        </xdr:grpSpPr>
        <xdr:cxnSp macro="">
          <xdr:nvCxnSpPr>
            <xdr:cNvPr id="244" name="Straight Connector 243"/>
            <xdr:cNvCxnSpPr/>
          </xdr:nvCxnSpPr>
          <xdr:spPr>
            <a:xfrm rot="5400000">
              <a:off x="2818279" y="16007603"/>
              <a:ext cx="392206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6" name="Straight Connector 245"/>
            <xdr:cNvCxnSpPr/>
          </xdr:nvCxnSpPr>
          <xdr:spPr>
            <a:xfrm>
              <a:off x="2958353" y="15811500"/>
              <a:ext cx="123265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9" name="Straight Connector 248"/>
            <xdr:cNvCxnSpPr/>
          </xdr:nvCxnSpPr>
          <xdr:spPr>
            <a:xfrm>
              <a:off x="2953869" y="16188020"/>
              <a:ext cx="123265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4</xdr:col>
      <xdr:colOff>89647</xdr:colOff>
      <xdr:row>82</xdr:row>
      <xdr:rowOff>22412</xdr:rowOff>
    </xdr:from>
    <xdr:to>
      <xdr:col>4</xdr:col>
      <xdr:colOff>425823</xdr:colOff>
      <xdr:row>84</xdr:row>
      <xdr:rowOff>22412</xdr:rowOff>
    </xdr:to>
    <xdr:cxnSp macro="">
      <xdr:nvCxnSpPr>
        <xdr:cNvPr id="253" name="Straight Connector 252"/>
        <xdr:cNvCxnSpPr/>
      </xdr:nvCxnSpPr>
      <xdr:spPr>
        <a:xfrm rot="16200000" flipH="1">
          <a:off x="1781735" y="15833912"/>
          <a:ext cx="381000" cy="336176"/>
        </a:xfrm>
        <a:prstGeom prst="line">
          <a:avLst/>
        </a:prstGeom>
        <a:ln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482742</xdr:colOff>
      <xdr:row>148</xdr:row>
      <xdr:rowOff>56829</xdr:rowOff>
    </xdr:from>
    <xdr:to>
      <xdr:col>6</xdr:col>
      <xdr:colOff>60587</xdr:colOff>
      <xdr:row>152</xdr:row>
      <xdr:rowOff>69677</xdr:rowOff>
    </xdr:to>
    <xdr:grpSp>
      <xdr:nvGrpSpPr>
        <xdr:cNvPr id="409" name="Group 408"/>
        <xdr:cNvGrpSpPr/>
      </xdr:nvGrpSpPr>
      <xdr:grpSpPr>
        <a:xfrm>
          <a:off x="482742" y="28486153"/>
          <a:ext cx="2166404" cy="774848"/>
          <a:chOff x="482742" y="28486153"/>
          <a:chExt cx="2166404" cy="774848"/>
        </a:xfrm>
      </xdr:grpSpPr>
      <xdr:sp macro="" textlink="">
        <xdr:nvSpPr>
          <xdr:cNvPr id="256" name="Flowchart: Manual Input 255"/>
          <xdr:cNvSpPr>
            <a:spLocks noChangeAspect="1"/>
          </xdr:cNvSpPr>
        </xdr:nvSpPr>
        <xdr:spPr>
          <a:xfrm flipV="1">
            <a:off x="483536" y="28563798"/>
            <a:ext cx="2165610" cy="653192"/>
          </a:xfrm>
          <a:prstGeom prst="flowChartManualInpu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cxnSp macro="">
        <xdr:nvCxnSpPr>
          <xdr:cNvPr id="257" name="Straight Arrow Connector 256"/>
          <xdr:cNvCxnSpPr/>
        </xdr:nvCxnSpPr>
        <xdr:spPr>
          <a:xfrm rot="5400000" flipH="1" flipV="1">
            <a:off x="164168" y="28815933"/>
            <a:ext cx="638735" cy="1588"/>
          </a:xfrm>
          <a:prstGeom prst="straightConnector1">
            <a:avLst/>
          </a:prstGeom>
          <a:ln w="19050">
            <a:solidFill>
              <a:srgbClr val="00B05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8" name="Straight Arrow Connector 257"/>
          <xdr:cNvCxnSpPr/>
        </xdr:nvCxnSpPr>
        <xdr:spPr>
          <a:xfrm rot="16200000" flipV="1">
            <a:off x="2258294" y="28873243"/>
            <a:ext cx="774848" cy="668"/>
          </a:xfrm>
          <a:prstGeom prst="straightConnector1">
            <a:avLst/>
          </a:prstGeom>
          <a:ln w="19050">
            <a:solidFill>
              <a:srgbClr val="00B05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72525</xdr:colOff>
      <xdr:row>61</xdr:row>
      <xdr:rowOff>186020</xdr:rowOff>
    </xdr:from>
    <xdr:to>
      <xdr:col>2</xdr:col>
      <xdr:colOff>394663</xdr:colOff>
      <xdr:row>61</xdr:row>
      <xdr:rowOff>187608</xdr:rowOff>
    </xdr:to>
    <xdr:cxnSp macro="">
      <xdr:nvCxnSpPr>
        <xdr:cNvPr id="22" name="Straight Connector 21"/>
        <xdr:cNvCxnSpPr/>
      </xdr:nvCxnSpPr>
      <xdr:spPr>
        <a:xfrm rot="10800000">
          <a:off x="72525" y="11974608"/>
          <a:ext cx="1084138" cy="1588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433501</xdr:colOff>
      <xdr:row>124</xdr:row>
      <xdr:rowOff>56029</xdr:rowOff>
    </xdr:from>
    <xdr:to>
      <xdr:col>7</xdr:col>
      <xdr:colOff>0</xdr:colOff>
      <xdr:row>144</xdr:row>
      <xdr:rowOff>180093</xdr:rowOff>
    </xdr:to>
    <xdr:grpSp>
      <xdr:nvGrpSpPr>
        <xdr:cNvPr id="408" name="Group 407"/>
        <xdr:cNvGrpSpPr/>
      </xdr:nvGrpSpPr>
      <xdr:grpSpPr>
        <a:xfrm>
          <a:off x="433501" y="23913353"/>
          <a:ext cx="2636911" cy="3934064"/>
          <a:chOff x="433501" y="23913353"/>
          <a:chExt cx="2636911" cy="3934064"/>
        </a:xfrm>
      </xdr:grpSpPr>
      <xdr:grpSp>
        <xdr:nvGrpSpPr>
          <xdr:cNvPr id="255" name="Group 254"/>
          <xdr:cNvGrpSpPr/>
        </xdr:nvGrpSpPr>
        <xdr:grpSpPr>
          <a:xfrm>
            <a:off x="463925" y="26342012"/>
            <a:ext cx="2198031" cy="1361958"/>
            <a:chOff x="419100" y="7905750"/>
            <a:chExt cx="1885950" cy="1188346"/>
          </a:xfrm>
        </xdr:grpSpPr>
        <xdr:cxnSp macro="">
          <xdr:nvCxnSpPr>
            <xdr:cNvPr id="277" name="Straight Connector 276"/>
            <xdr:cNvCxnSpPr/>
          </xdr:nvCxnSpPr>
          <xdr:spPr>
            <a:xfrm>
              <a:off x="1190625" y="7905750"/>
              <a:ext cx="333375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78" name="Straight Connector 277"/>
            <xdr:cNvCxnSpPr/>
          </xdr:nvCxnSpPr>
          <xdr:spPr>
            <a:xfrm rot="5400000">
              <a:off x="1133475" y="8305800"/>
              <a:ext cx="800100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79" name="Straight Connector 278"/>
            <xdr:cNvCxnSpPr/>
          </xdr:nvCxnSpPr>
          <xdr:spPr>
            <a:xfrm rot="5400000">
              <a:off x="790575" y="8305800"/>
              <a:ext cx="800100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80" name="Straight Connector 279"/>
            <xdr:cNvCxnSpPr/>
          </xdr:nvCxnSpPr>
          <xdr:spPr>
            <a:xfrm rot="10800000">
              <a:off x="428625" y="8696325"/>
              <a:ext cx="762000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81" name="Straight Connector 280"/>
            <xdr:cNvCxnSpPr/>
          </xdr:nvCxnSpPr>
          <xdr:spPr>
            <a:xfrm rot="10800000">
              <a:off x="1533525" y="8705850"/>
              <a:ext cx="762000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82" name="Straight Connector 281"/>
            <xdr:cNvCxnSpPr/>
          </xdr:nvCxnSpPr>
          <xdr:spPr>
            <a:xfrm rot="5400000">
              <a:off x="233056" y="8888517"/>
              <a:ext cx="390525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83" name="Straight Connector 282"/>
            <xdr:cNvCxnSpPr/>
          </xdr:nvCxnSpPr>
          <xdr:spPr>
            <a:xfrm rot="5400000">
              <a:off x="2103336" y="8898040"/>
              <a:ext cx="390525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84" name="Straight Connector 283"/>
            <xdr:cNvCxnSpPr/>
          </xdr:nvCxnSpPr>
          <xdr:spPr>
            <a:xfrm>
              <a:off x="419100" y="9086850"/>
              <a:ext cx="1885950" cy="1588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272" name="Straight Connector 271"/>
          <xdr:cNvCxnSpPr/>
        </xdr:nvCxnSpPr>
        <xdr:spPr>
          <a:xfrm>
            <a:off x="1354815" y="26165740"/>
            <a:ext cx="1323393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" name="Straight Connector 272"/>
          <xdr:cNvCxnSpPr/>
        </xdr:nvCxnSpPr>
        <xdr:spPr>
          <a:xfrm rot="5400000">
            <a:off x="1272635" y="26170578"/>
            <a:ext cx="144000" cy="144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" name="Straight Connector 273"/>
          <xdr:cNvCxnSpPr/>
        </xdr:nvCxnSpPr>
        <xdr:spPr>
          <a:xfrm rot="5400000">
            <a:off x="1710373" y="26170578"/>
            <a:ext cx="144000" cy="144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5" name="Straight Connector 274"/>
          <xdr:cNvCxnSpPr/>
        </xdr:nvCxnSpPr>
        <xdr:spPr>
          <a:xfrm rot="5400000">
            <a:off x="1954611" y="26170578"/>
            <a:ext cx="144000" cy="144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6" name="Straight Connector 275"/>
          <xdr:cNvCxnSpPr/>
        </xdr:nvCxnSpPr>
        <xdr:spPr>
          <a:xfrm rot="5400000">
            <a:off x="2585848" y="26170578"/>
            <a:ext cx="144000" cy="144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60" name="Group 259"/>
          <xdr:cNvGrpSpPr/>
        </xdr:nvGrpSpPr>
        <xdr:grpSpPr>
          <a:xfrm>
            <a:off x="459443" y="27746563"/>
            <a:ext cx="2202994" cy="100854"/>
            <a:chOff x="493059" y="16261503"/>
            <a:chExt cx="2389109" cy="100854"/>
          </a:xfrm>
        </xdr:grpSpPr>
        <xdr:cxnSp macro="">
          <xdr:nvCxnSpPr>
            <xdr:cNvPr id="269" name="Straight Connector 268"/>
            <xdr:cNvCxnSpPr/>
          </xdr:nvCxnSpPr>
          <xdr:spPr>
            <a:xfrm>
              <a:off x="493059" y="16316739"/>
              <a:ext cx="2382468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0" name="Straight Connector 269"/>
            <xdr:cNvCxnSpPr/>
          </xdr:nvCxnSpPr>
          <xdr:spPr>
            <a:xfrm rot="5400000">
              <a:off x="453839" y="16311136"/>
              <a:ext cx="100853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1" name="Straight Connector 270"/>
            <xdr:cNvCxnSpPr/>
          </xdr:nvCxnSpPr>
          <xdr:spPr>
            <a:xfrm rot="5400000">
              <a:off x="2830947" y="16311137"/>
              <a:ext cx="100853" cy="1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64" name="Straight Connector 263"/>
          <xdr:cNvCxnSpPr/>
        </xdr:nvCxnSpPr>
        <xdr:spPr>
          <a:xfrm>
            <a:off x="504267" y="27644917"/>
            <a:ext cx="2084293" cy="1588"/>
          </a:xfrm>
          <a:prstGeom prst="line">
            <a:avLst/>
          </a:prstGeom>
          <a:ln w="19050">
            <a:solidFill>
              <a:schemeClr val="accent2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" name="Straight Connector 265"/>
          <xdr:cNvCxnSpPr/>
        </xdr:nvCxnSpPr>
        <xdr:spPr>
          <a:xfrm rot="5400000">
            <a:off x="2538266" y="27504711"/>
            <a:ext cx="504000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" name="Straight Connector 266"/>
          <xdr:cNvCxnSpPr/>
        </xdr:nvCxnSpPr>
        <xdr:spPr>
          <a:xfrm>
            <a:off x="2734237" y="27252711"/>
            <a:ext cx="123265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" name="Straight Connector 267"/>
          <xdr:cNvCxnSpPr/>
        </xdr:nvCxnSpPr>
        <xdr:spPr>
          <a:xfrm>
            <a:off x="2729753" y="27629231"/>
            <a:ext cx="123265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" name="Straight Connector 316"/>
          <xdr:cNvCxnSpPr/>
        </xdr:nvCxnSpPr>
        <xdr:spPr>
          <a:xfrm rot="16200000" flipH="1">
            <a:off x="1697695" y="27314341"/>
            <a:ext cx="392199" cy="268941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3" name="Straight Connector 322"/>
          <xdr:cNvCxnSpPr/>
        </xdr:nvCxnSpPr>
        <xdr:spPr>
          <a:xfrm rot="10800000">
            <a:off x="433501" y="26165742"/>
            <a:ext cx="900000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5" name="Straight Connector 324"/>
          <xdr:cNvCxnSpPr/>
        </xdr:nvCxnSpPr>
        <xdr:spPr>
          <a:xfrm rot="5400000">
            <a:off x="1021619" y="26166094"/>
            <a:ext cx="144000" cy="144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" name="Straight Connector 325"/>
          <xdr:cNvCxnSpPr/>
        </xdr:nvCxnSpPr>
        <xdr:spPr>
          <a:xfrm rot="5400000">
            <a:off x="389599" y="26172816"/>
            <a:ext cx="144000" cy="144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9" name="Rectangle 328"/>
          <xdr:cNvSpPr/>
        </xdr:nvSpPr>
        <xdr:spPr>
          <a:xfrm>
            <a:off x="470647" y="23913353"/>
            <a:ext cx="2185147" cy="1905000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335" name="Rectangle 334"/>
          <xdr:cNvSpPr/>
        </xdr:nvSpPr>
        <xdr:spPr>
          <a:xfrm>
            <a:off x="1311088" y="24574500"/>
            <a:ext cx="504265" cy="448235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grpSp>
        <xdr:nvGrpSpPr>
          <xdr:cNvPr id="345" name="Group 344"/>
          <xdr:cNvGrpSpPr/>
        </xdr:nvGrpSpPr>
        <xdr:grpSpPr>
          <a:xfrm>
            <a:off x="1086971" y="24339176"/>
            <a:ext cx="952500" cy="907677"/>
            <a:chOff x="1018942" y="24283146"/>
            <a:chExt cx="1087764" cy="1032531"/>
          </a:xfrm>
        </xdr:grpSpPr>
        <xdr:cxnSp macro="">
          <xdr:nvCxnSpPr>
            <xdr:cNvPr id="338" name="Straight Connector 337"/>
            <xdr:cNvCxnSpPr/>
          </xdr:nvCxnSpPr>
          <xdr:spPr>
            <a:xfrm>
              <a:off x="1019734" y="24283146"/>
              <a:ext cx="1080000" cy="1588"/>
            </a:xfrm>
            <a:prstGeom prst="line">
              <a:avLst/>
            </a:prstGeom>
            <a:ln w="12700">
              <a:solidFill>
                <a:srgbClr val="FF000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0" name="Straight Connector 339"/>
            <xdr:cNvCxnSpPr/>
          </xdr:nvCxnSpPr>
          <xdr:spPr>
            <a:xfrm rot="5400000">
              <a:off x="1591500" y="24809557"/>
              <a:ext cx="1008000" cy="1588"/>
            </a:xfrm>
            <a:prstGeom prst="line">
              <a:avLst/>
            </a:prstGeom>
            <a:ln w="12700">
              <a:solidFill>
                <a:srgbClr val="FF000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2" name="Straight Connector 341"/>
            <xdr:cNvCxnSpPr/>
          </xdr:nvCxnSpPr>
          <xdr:spPr>
            <a:xfrm rot="10800000">
              <a:off x="1026706" y="25314089"/>
              <a:ext cx="1080000" cy="1588"/>
            </a:xfrm>
            <a:prstGeom prst="line">
              <a:avLst/>
            </a:prstGeom>
            <a:ln w="12700">
              <a:solidFill>
                <a:srgbClr val="FF000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4" name="Straight Connector 343"/>
            <xdr:cNvCxnSpPr/>
          </xdr:nvCxnSpPr>
          <xdr:spPr>
            <a:xfrm rot="5400000" flipH="1" flipV="1">
              <a:off x="515736" y="24798352"/>
              <a:ext cx="1008000" cy="1588"/>
            </a:xfrm>
            <a:prstGeom prst="line">
              <a:avLst/>
            </a:prstGeom>
            <a:ln w="12700">
              <a:solidFill>
                <a:srgbClr val="FF000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61" name="Straight Connector 260"/>
          <xdr:cNvCxnSpPr/>
        </xdr:nvCxnSpPr>
        <xdr:spPr>
          <a:xfrm rot="16200000" flipH="1">
            <a:off x="916488" y="26477107"/>
            <a:ext cx="2220892" cy="2665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6" name="Straight Connector 345"/>
          <xdr:cNvCxnSpPr/>
        </xdr:nvCxnSpPr>
        <xdr:spPr>
          <a:xfrm rot="16200000" flipH="1">
            <a:off x="-13598" y="26443490"/>
            <a:ext cx="2220892" cy="2665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7" name="Straight Connector 346"/>
          <xdr:cNvCxnSpPr/>
        </xdr:nvCxnSpPr>
        <xdr:spPr>
          <a:xfrm rot="5400000">
            <a:off x="1014135" y="27314343"/>
            <a:ext cx="392199" cy="313762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8" name="Straight Connector 347"/>
          <xdr:cNvCxnSpPr/>
        </xdr:nvCxnSpPr>
        <xdr:spPr>
          <a:xfrm>
            <a:off x="2736475" y="27736807"/>
            <a:ext cx="123265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1" name="Straight Connector 350"/>
          <xdr:cNvCxnSpPr/>
        </xdr:nvCxnSpPr>
        <xdr:spPr>
          <a:xfrm rot="16200000" flipH="1">
            <a:off x="-652333" y="26454696"/>
            <a:ext cx="2220892" cy="2665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2" name="Straight Connector 351"/>
          <xdr:cNvCxnSpPr/>
        </xdr:nvCxnSpPr>
        <xdr:spPr>
          <a:xfrm rot="16200000" flipH="1">
            <a:off x="1544022" y="26454697"/>
            <a:ext cx="2220892" cy="2665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4" name="Straight Connector 353"/>
          <xdr:cNvCxnSpPr/>
        </xdr:nvCxnSpPr>
        <xdr:spPr>
          <a:xfrm>
            <a:off x="1994647" y="24339176"/>
            <a:ext cx="1075765" cy="1588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5" name="Straight Connector 354"/>
          <xdr:cNvCxnSpPr/>
        </xdr:nvCxnSpPr>
        <xdr:spPr>
          <a:xfrm>
            <a:off x="1994647" y="24574500"/>
            <a:ext cx="1075765" cy="1588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6" name="Straight Connector 355"/>
          <xdr:cNvCxnSpPr/>
        </xdr:nvCxnSpPr>
        <xdr:spPr>
          <a:xfrm>
            <a:off x="1994647" y="25011529"/>
            <a:ext cx="1075765" cy="1588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7" name="Straight Connector 356"/>
          <xdr:cNvCxnSpPr/>
        </xdr:nvCxnSpPr>
        <xdr:spPr>
          <a:xfrm>
            <a:off x="1994647" y="25246853"/>
            <a:ext cx="1075765" cy="1588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9" name="Straight Connector 358"/>
          <xdr:cNvCxnSpPr/>
        </xdr:nvCxnSpPr>
        <xdr:spPr>
          <a:xfrm rot="5400000">
            <a:off x="2448486" y="24793014"/>
            <a:ext cx="1064559" cy="1588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11206</xdr:colOff>
      <xdr:row>184</xdr:row>
      <xdr:rowOff>123263</xdr:rowOff>
    </xdr:from>
    <xdr:to>
      <xdr:col>6</xdr:col>
      <xdr:colOff>11206</xdr:colOff>
      <xdr:row>187</xdr:row>
      <xdr:rowOff>89646</xdr:rowOff>
    </xdr:to>
    <xdr:sp macro="" textlink="">
      <xdr:nvSpPr>
        <xdr:cNvPr id="410" name="Flowchart: Manual Input 409"/>
        <xdr:cNvSpPr/>
      </xdr:nvSpPr>
      <xdr:spPr>
        <a:xfrm flipV="1">
          <a:off x="526677" y="35220087"/>
          <a:ext cx="2073088" cy="537883"/>
        </a:xfrm>
        <a:prstGeom prst="flowChartManualInp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</xdr:col>
      <xdr:colOff>10411</xdr:colOff>
      <xdr:row>184</xdr:row>
      <xdr:rowOff>34411</xdr:rowOff>
    </xdr:from>
    <xdr:to>
      <xdr:col>1</xdr:col>
      <xdr:colOff>11999</xdr:colOff>
      <xdr:row>187</xdr:row>
      <xdr:rowOff>38911</xdr:rowOff>
    </xdr:to>
    <xdr:cxnSp macro="">
      <xdr:nvCxnSpPr>
        <xdr:cNvPr id="412" name="Straight Arrow Connector 411"/>
        <xdr:cNvCxnSpPr/>
      </xdr:nvCxnSpPr>
      <xdr:spPr>
        <a:xfrm rot="5400000" flipH="1" flipV="1">
          <a:off x="238676" y="35418441"/>
          <a:ext cx="576000" cy="1588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10413</xdr:colOff>
      <xdr:row>184</xdr:row>
      <xdr:rowOff>56823</xdr:rowOff>
    </xdr:from>
    <xdr:to>
      <xdr:col>6</xdr:col>
      <xdr:colOff>12001</xdr:colOff>
      <xdr:row>187</xdr:row>
      <xdr:rowOff>112852</xdr:rowOff>
    </xdr:to>
    <xdr:cxnSp macro="">
      <xdr:nvCxnSpPr>
        <xdr:cNvPr id="414" name="Straight Arrow Connector 413"/>
        <xdr:cNvCxnSpPr/>
      </xdr:nvCxnSpPr>
      <xdr:spPr>
        <a:xfrm rot="5400000" flipH="1" flipV="1">
          <a:off x="2286001" y="35466618"/>
          <a:ext cx="627529" cy="1588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280147</xdr:colOff>
      <xdr:row>172</xdr:row>
      <xdr:rowOff>179294</xdr:rowOff>
    </xdr:from>
    <xdr:to>
      <xdr:col>6</xdr:col>
      <xdr:colOff>246529</xdr:colOff>
      <xdr:row>182</xdr:row>
      <xdr:rowOff>11205</xdr:rowOff>
    </xdr:to>
    <xdr:grpSp>
      <xdr:nvGrpSpPr>
        <xdr:cNvPr id="288" name="Group 287"/>
        <xdr:cNvGrpSpPr/>
      </xdr:nvGrpSpPr>
      <xdr:grpSpPr>
        <a:xfrm>
          <a:off x="280147" y="33180618"/>
          <a:ext cx="2554941" cy="1736911"/>
          <a:chOff x="280147" y="33180618"/>
          <a:chExt cx="2554941" cy="1736911"/>
        </a:xfrm>
      </xdr:grpSpPr>
      <xdr:cxnSp macro="">
        <xdr:nvCxnSpPr>
          <xdr:cNvPr id="364" name="Straight Connector 363"/>
          <xdr:cNvCxnSpPr/>
        </xdr:nvCxnSpPr>
        <xdr:spPr>
          <a:xfrm>
            <a:off x="522069" y="34704776"/>
            <a:ext cx="2057296" cy="1114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5" name="Straight Connector 364"/>
          <xdr:cNvCxnSpPr/>
        </xdr:nvCxnSpPr>
        <xdr:spPr>
          <a:xfrm>
            <a:off x="1232638" y="33448856"/>
            <a:ext cx="655384" cy="1114"/>
          </a:xfrm>
          <a:prstGeom prst="line">
            <a:avLst/>
          </a:prstGeom>
          <a:ln>
            <a:solidFill>
              <a:sysClr val="windowText" lastClr="000000"/>
            </a:solidFill>
            <a:prstDash val="lgDashDot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66" name="Group 111"/>
          <xdr:cNvGrpSpPr/>
        </xdr:nvGrpSpPr>
        <xdr:grpSpPr>
          <a:xfrm>
            <a:off x="515637" y="33355886"/>
            <a:ext cx="2078202" cy="1349447"/>
            <a:chOff x="1140875" y="6245838"/>
            <a:chExt cx="3303384" cy="1924051"/>
          </a:xfrm>
        </xdr:grpSpPr>
        <xdr:cxnSp macro="">
          <xdr:nvCxnSpPr>
            <xdr:cNvPr id="402" name="Straight Connector 401"/>
            <xdr:cNvCxnSpPr/>
          </xdr:nvCxnSpPr>
          <xdr:spPr>
            <a:xfrm rot="5400000">
              <a:off x="760662" y="7788102"/>
              <a:ext cx="762000" cy="1573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3" name="Straight Connector 402"/>
            <xdr:cNvCxnSpPr/>
          </xdr:nvCxnSpPr>
          <xdr:spPr>
            <a:xfrm rot="5400000">
              <a:off x="4054106" y="7788102"/>
              <a:ext cx="762000" cy="1573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4" name="Straight Connector 403"/>
            <xdr:cNvCxnSpPr/>
          </xdr:nvCxnSpPr>
          <xdr:spPr>
            <a:xfrm>
              <a:off x="1141662" y="7397570"/>
              <a:ext cx="1338852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5" name="Straight Connector 404"/>
            <xdr:cNvCxnSpPr/>
          </xdr:nvCxnSpPr>
          <xdr:spPr>
            <a:xfrm rot="5400000" flipH="1" flipV="1">
              <a:off x="1899577" y="6826077"/>
              <a:ext cx="1143000" cy="1573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6" name="Straight Connector 405"/>
            <xdr:cNvCxnSpPr/>
          </xdr:nvCxnSpPr>
          <xdr:spPr>
            <a:xfrm rot="5400000">
              <a:off x="2571998" y="6821314"/>
              <a:ext cx="1152525" cy="1573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7" name="Straight Connector 406"/>
            <xdr:cNvCxnSpPr/>
          </xdr:nvCxnSpPr>
          <xdr:spPr>
            <a:xfrm>
              <a:off x="3148259" y="7397570"/>
              <a:ext cx="1296000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67" name="Oval 366"/>
          <xdr:cNvSpPr/>
        </xdr:nvSpPr>
        <xdr:spPr>
          <a:xfrm>
            <a:off x="571535" y="34566874"/>
            <a:ext cx="45296" cy="50498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368" name="Oval 367"/>
          <xdr:cNvSpPr/>
        </xdr:nvSpPr>
        <xdr:spPr>
          <a:xfrm>
            <a:off x="880652" y="34566874"/>
            <a:ext cx="45296" cy="50498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369" name="Oval 368"/>
          <xdr:cNvSpPr/>
        </xdr:nvSpPr>
        <xdr:spPr>
          <a:xfrm>
            <a:off x="1207769" y="34566874"/>
            <a:ext cx="45296" cy="50498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370" name="Oval 369"/>
          <xdr:cNvSpPr/>
        </xdr:nvSpPr>
        <xdr:spPr>
          <a:xfrm>
            <a:off x="1532470" y="34566874"/>
            <a:ext cx="45296" cy="50498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371" name="Oval 370"/>
          <xdr:cNvSpPr/>
        </xdr:nvSpPr>
        <xdr:spPr>
          <a:xfrm>
            <a:off x="1875458" y="34566874"/>
            <a:ext cx="45296" cy="50498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372" name="Oval 371"/>
          <xdr:cNvSpPr/>
        </xdr:nvSpPr>
        <xdr:spPr>
          <a:xfrm>
            <a:off x="2178646" y="34566874"/>
            <a:ext cx="45296" cy="50498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373" name="Oval 372"/>
          <xdr:cNvSpPr/>
        </xdr:nvSpPr>
        <xdr:spPr>
          <a:xfrm>
            <a:off x="2486347" y="34566874"/>
            <a:ext cx="45296" cy="50498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cxnSp macro="">
        <xdr:nvCxnSpPr>
          <xdr:cNvPr id="374" name="Straight Connector 373"/>
          <xdr:cNvCxnSpPr/>
        </xdr:nvCxnSpPr>
        <xdr:spPr>
          <a:xfrm rot="5400000">
            <a:off x="869310" y="33996668"/>
            <a:ext cx="1100950" cy="88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5" name="Straight Connector 374"/>
          <xdr:cNvCxnSpPr/>
        </xdr:nvCxnSpPr>
        <xdr:spPr>
          <a:xfrm rot="16200000" flipH="1">
            <a:off x="1167869" y="33992159"/>
            <a:ext cx="1093515" cy="161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6" name="Line 456"/>
          <xdr:cNvSpPr>
            <a:spLocks noChangeShapeType="1"/>
          </xdr:cNvSpPr>
        </xdr:nvSpPr>
        <xdr:spPr bwMode="auto">
          <a:xfrm>
            <a:off x="280147" y="34714764"/>
            <a:ext cx="2554941" cy="0"/>
          </a:xfrm>
          <a:prstGeom prst="line">
            <a:avLst/>
          </a:prstGeom>
          <a:noFill/>
          <a:ln w="2476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377" name="Group 119"/>
          <xdr:cNvGrpSpPr/>
        </xdr:nvGrpSpPr>
        <xdr:grpSpPr>
          <a:xfrm>
            <a:off x="488775" y="34783920"/>
            <a:ext cx="2121981" cy="133609"/>
            <a:chOff x="1098176" y="8315558"/>
            <a:chExt cx="3372972" cy="190500"/>
          </a:xfrm>
        </xdr:grpSpPr>
        <xdr:cxnSp macro="">
          <xdr:nvCxnSpPr>
            <xdr:cNvPr id="398" name="Straight Connector 397"/>
            <xdr:cNvCxnSpPr/>
          </xdr:nvCxnSpPr>
          <xdr:spPr>
            <a:xfrm>
              <a:off x="1098176" y="8404411"/>
              <a:ext cx="1299882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9" name="Straight Connector 398"/>
            <xdr:cNvCxnSpPr/>
          </xdr:nvCxnSpPr>
          <xdr:spPr>
            <a:xfrm>
              <a:off x="3171266" y="8404411"/>
              <a:ext cx="1299882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0" name="Straight Connector 399"/>
            <xdr:cNvCxnSpPr/>
          </xdr:nvCxnSpPr>
          <xdr:spPr>
            <a:xfrm rot="5400000">
              <a:off x="1036543" y="8410014"/>
              <a:ext cx="190500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1" name="Straight Connector 400"/>
            <xdr:cNvCxnSpPr/>
          </xdr:nvCxnSpPr>
          <xdr:spPr>
            <a:xfrm rot="5400000">
              <a:off x="4342280" y="8410014"/>
              <a:ext cx="190500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78" name="Group 103"/>
          <xdr:cNvGrpSpPr/>
        </xdr:nvGrpSpPr>
        <xdr:grpSpPr>
          <a:xfrm>
            <a:off x="1320648" y="33180618"/>
            <a:ext cx="514633" cy="117890"/>
            <a:chOff x="2420471" y="5995940"/>
            <a:chExt cx="818029" cy="168089"/>
          </a:xfrm>
        </xdr:grpSpPr>
        <xdr:cxnSp macro="">
          <xdr:nvCxnSpPr>
            <xdr:cNvPr id="394" name="Straight Connector 393"/>
            <xdr:cNvCxnSpPr/>
          </xdr:nvCxnSpPr>
          <xdr:spPr>
            <a:xfrm>
              <a:off x="2420471" y="6073588"/>
              <a:ext cx="246529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5" name="Straight Connector 394"/>
            <xdr:cNvCxnSpPr/>
          </xdr:nvCxnSpPr>
          <xdr:spPr>
            <a:xfrm>
              <a:off x="2947147" y="6084794"/>
              <a:ext cx="291353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6" name="Straight Connector 395"/>
            <xdr:cNvCxnSpPr/>
          </xdr:nvCxnSpPr>
          <xdr:spPr>
            <a:xfrm rot="5400000">
              <a:off x="2381250" y="6067985"/>
              <a:ext cx="145677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7" name="Straight Connector 396"/>
            <xdr:cNvCxnSpPr/>
          </xdr:nvCxnSpPr>
          <xdr:spPr>
            <a:xfrm rot="5400000">
              <a:off x="3070412" y="6084794"/>
              <a:ext cx="156882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379" name="Straight Connector 378"/>
          <xdr:cNvCxnSpPr/>
        </xdr:nvCxnSpPr>
        <xdr:spPr>
          <a:xfrm>
            <a:off x="559273" y="34649756"/>
            <a:ext cx="1995084" cy="1114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80" name="Group 110"/>
          <xdr:cNvGrpSpPr/>
        </xdr:nvGrpSpPr>
        <xdr:grpSpPr>
          <a:xfrm>
            <a:off x="305481" y="34155174"/>
            <a:ext cx="105747" cy="605168"/>
            <a:chOff x="907677" y="7385469"/>
            <a:chExt cx="168089" cy="862853"/>
          </a:xfrm>
        </xdr:grpSpPr>
        <xdr:cxnSp macro="">
          <xdr:nvCxnSpPr>
            <xdr:cNvPr id="392" name="Straight Connector 391"/>
            <xdr:cNvCxnSpPr/>
          </xdr:nvCxnSpPr>
          <xdr:spPr>
            <a:xfrm rot="5400000">
              <a:off x="577103" y="7816102"/>
              <a:ext cx="862853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3" name="Straight Connector 392"/>
            <xdr:cNvCxnSpPr/>
          </xdr:nvCxnSpPr>
          <xdr:spPr>
            <a:xfrm rot="10800000">
              <a:off x="907677" y="7395882"/>
              <a:ext cx="168089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81" name="Group 118"/>
          <xdr:cNvGrpSpPr/>
        </xdr:nvGrpSpPr>
        <xdr:grpSpPr>
          <a:xfrm>
            <a:off x="2608229" y="34155175"/>
            <a:ext cx="112796" cy="558012"/>
            <a:chOff x="4538382" y="7385470"/>
            <a:chExt cx="179294" cy="795618"/>
          </a:xfrm>
        </xdr:grpSpPr>
        <xdr:cxnSp macro="">
          <xdr:nvCxnSpPr>
            <xdr:cNvPr id="389" name="Straight Connector 388"/>
            <xdr:cNvCxnSpPr/>
          </xdr:nvCxnSpPr>
          <xdr:spPr>
            <a:xfrm rot="5400000">
              <a:off x="4219015" y="7782485"/>
              <a:ext cx="795618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0" name="Straight Connector 389"/>
            <xdr:cNvCxnSpPr/>
          </xdr:nvCxnSpPr>
          <xdr:spPr>
            <a:xfrm>
              <a:off x="4538382" y="7407088"/>
              <a:ext cx="179294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1" name="Straight Connector 390"/>
            <xdr:cNvCxnSpPr/>
          </xdr:nvCxnSpPr>
          <xdr:spPr>
            <a:xfrm>
              <a:off x="4560794" y="8001000"/>
              <a:ext cx="145677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382" name="Straight Connector 381"/>
          <xdr:cNvCxnSpPr/>
        </xdr:nvCxnSpPr>
        <xdr:spPr>
          <a:xfrm>
            <a:off x="1193752" y="34539725"/>
            <a:ext cx="225592" cy="1114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3" name="Straight Connector 382"/>
          <xdr:cNvCxnSpPr/>
        </xdr:nvCxnSpPr>
        <xdr:spPr>
          <a:xfrm>
            <a:off x="1715435" y="34539725"/>
            <a:ext cx="225592" cy="1114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6" name="Straight Connector 415"/>
          <xdr:cNvCxnSpPr/>
        </xdr:nvCxnSpPr>
        <xdr:spPr>
          <a:xfrm>
            <a:off x="1568824" y="33953825"/>
            <a:ext cx="1042147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8" name="Straight Connector 417"/>
          <xdr:cNvCxnSpPr/>
        </xdr:nvCxnSpPr>
        <xdr:spPr>
          <a:xfrm rot="5400000">
            <a:off x="1503618" y="33951794"/>
            <a:ext cx="108000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9" name="Straight Connector 418"/>
          <xdr:cNvCxnSpPr/>
        </xdr:nvCxnSpPr>
        <xdr:spPr>
          <a:xfrm rot="5400000">
            <a:off x="2541292" y="33958516"/>
            <a:ext cx="108000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1" name="Straight Connector 420"/>
          <xdr:cNvCxnSpPr/>
        </xdr:nvCxnSpPr>
        <xdr:spPr>
          <a:xfrm>
            <a:off x="1792941" y="33752118"/>
            <a:ext cx="818030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3" name="Straight Connector 422"/>
          <xdr:cNvCxnSpPr/>
        </xdr:nvCxnSpPr>
        <xdr:spPr>
          <a:xfrm rot="5400000">
            <a:off x="2549339" y="33757721"/>
            <a:ext cx="123265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111265</xdr:colOff>
      <xdr:row>184</xdr:row>
      <xdr:rowOff>56823</xdr:rowOff>
    </xdr:from>
    <xdr:to>
      <xdr:col>4</xdr:col>
      <xdr:colOff>112853</xdr:colOff>
      <xdr:row>187</xdr:row>
      <xdr:rowOff>68029</xdr:rowOff>
    </xdr:to>
    <xdr:cxnSp macro="">
      <xdr:nvCxnSpPr>
        <xdr:cNvPr id="425" name="Straight Arrow Connector 424"/>
        <xdr:cNvCxnSpPr/>
      </xdr:nvCxnSpPr>
      <xdr:spPr>
        <a:xfrm rot="5400000" flipH="1" flipV="1">
          <a:off x="1535206" y="35634706"/>
          <a:ext cx="582706" cy="1588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252</xdr:row>
      <xdr:rowOff>76200</xdr:rowOff>
    </xdr:from>
    <xdr:to>
      <xdr:col>6</xdr:col>
      <xdr:colOff>304800</xdr:colOff>
      <xdr:row>252</xdr:row>
      <xdr:rowOff>77788</xdr:rowOff>
    </xdr:to>
    <xdr:cxnSp macro="">
      <xdr:nvCxnSpPr>
        <xdr:cNvPr id="289" name="Straight Connector 288"/>
        <xdr:cNvCxnSpPr/>
      </xdr:nvCxnSpPr>
      <xdr:spPr>
        <a:xfrm>
          <a:off x="933450" y="49281229"/>
          <a:ext cx="1959909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259</xdr:row>
      <xdr:rowOff>76200</xdr:rowOff>
    </xdr:from>
    <xdr:to>
      <xdr:col>6</xdr:col>
      <xdr:colOff>304800</xdr:colOff>
      <xdr:row>259</xdr:row>
      <xdr:rowOff>77788</xdr:rowOff>
    </xdr:to>
    <xdr:cxnSp macro="">
      <xdr:nvCxnSpPr>
        <xdr:cNvPr id="291" name="Straight Connector 290"/>
        <xdr:cNvCxnSpPr/>
      </xdr:nvCxnSpPr>
      <xdr:spPr>
        <a:xfrm>
          <a:off x="933450" y="48519229"/>
          <a:ext cx="1959909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90768</xdr:colOff>
      <xdr:row>257</xdr:row>
      <xdr:rowOff>120463</xdr:rowOff>
    </xdr:from>
    <xdr:to>
      <xdr:col>2</xdr:col>
      <xdr:colOff>528918</xdr:colOff>
      <xdr:row>258</xdr:row>
      <xdr:rowOff>168088</xdr:rowOff>
    </xdr:to>
    <xdr:grpSp>
      <xdr:nvGrpSpPr>
        <xdr:cNvPr id="292" name="Group 291"/>
        <xdr:cNvGrpSpPr/>
      </xdr:nvGrpSpPr>
      <xdr:grpSpPr>
        <a:xfrm>
          <a:off x="852768" y="49515992"/>
          <a:ext cx="438150" cy="238125"/>
          <a:chOff x="4695825" y="14192250"/>
          <a:chExt cx="438150" cy="238125"/>
        </a:xfrm>
      </xdr:grpSpPr>
      <xdr:cxnSp macro="">
        <xdr:nvCxnSpPr>
          <xdr:cNvPr id="293" name="Straight Connector 292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4" name="Straight Connector 293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5" name="Straight Connector 294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171450</xdr:colOff>
      <xdr:row>267</xdr:row>
      <xdr:rowOff>76200</xdr:rowOff>
    </xdr:from>
    <xdr:to>
      <xdr:col>15</xdr:col>
      <xdr:colOff>304800</xdr:colOff>
      <xdr:row>267</xdr:row>
      <xdr:rowOff>77788</xdr:rowOff>
    </xdr:to>
    <xdr:cxnSp macro="">
      <xdr:nvCxnSpPr>
        <xdr:cNvPr id="296" name="Straight Connector 295"/>
        <xdr:cNvCxnSpPr/>
      </xdr:nvCxnSpPr>
      <xdr:spPr>
        <a:xfrm>
          <a:off x="933450" y="49852729"/>
          <a:ext cx="1959909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90768</xdr:colOff>
      <xdr:row>265</xdr:row>
      <xdr:rowOff>120463</xdr:rowOff>
    </xdr:from>
    <xdr:to>
      <xdr:col>11</xdr:col>
      <xdr:colOff>528918</xdr:colOff>
      <xdr:row>266</xdr:row>
      <xdr:rowOff>168088</xdr:rowOff>
    </xdr:to>
    <xdr:grpSp>
      <xdr:nvGrpSpPr>
        <xdr:cNvPr id="297" name="Group 296"/>
        <xdr:cNvGrpSpPr/>
      </xdr:nvGrpSpPr>
      <xdr:grpSpPr>
        <a:xfrm>
          <a:off x="5559239" y="51039992"/>
          <a:ext cx="438150" cy="238125"/>
          <a:chOff x="4695825" y="14192250"/>
          <a:chExt cx="438150" cy="238125"/>
        </a:xfrm>
      </xdr:grpSpPr>
      <xdr:cxnSp macro="">
        <xdr:nvCxnSpPr>
          <xdr:cNvPr id="298" name="Straight Connector 297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9" name="Straight Connector 298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0" name="Straight Connector 299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171450</xdr:colOff>
      <xdr:row>271</xdr:row>
      <xdr:rowOff>76200</xdr:rowOff>
    </xdr:from>
    <xdr:to>
      <xdr:col>15</xdr:col>
      <xdr:colOff>304800</xdr:colOff>
      <xdr:row>271</xdr:row>
      <xdr:rowOff>77788</xdr:rowOff>
    </xdr:to>
    <xdr:cxnSp macro="">
      <xdr:nvCxnSpPr>
        <xdr:cNvPr id="301" name="Straight Connector 300"/>
        <xdr:cNvCxnSpPr/>
      </xdr:nvCxnSpPr>
      <xdr:spPr>
        <a:xfrm>
          <a:off x="5639921" y="51376729"/>
          <a:ext cx="2576232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90768</xdr:colOff>
      <xdr:row>269</xdr:row>
      <xdr:rowOff>120463</xdr:rowOff>
    </xdr:from>
    <xdr:to>
      <xdr:col>11</xdr:col>
      <xdr:colOff>528918</xdr:colOff>
      <xdr:row>270</xdr:row>
      <xdr:rowOff>168088</xdr:rowOff>
    </xdr:to>
    <xdr:grpSp>
      <xdr:nvGrpSpPr>
        <xdr:cNvPr id="302" name="Group 301"/>
        <xdr:cNvGrpSpPr/>
      </xdr:nvGrpSpPr>
      <xdr:grpSpPr>
        <a:xfrm>
          <a:off x="5559239" y="51801992"/>
          <a:ext cx="438150" cy="238125"/>
          <a:chOff x="4695825" y="14192250"/>
          <a:chExt cx="438150" cy="238125"/>
        </a:xfrm>
      </xdr:grpSpPr>
      <xdr:cxnSp macro="">
        <xdr:nvCxnSpPr>
          <xdr:cNvPr id="303" name="Straight Connector 302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4" name="Straight Connector 303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5" name="Straight Connector 304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103982</xdr:colOff>
      <xdr:row>8</xdr:row>
      <xdr:rowOff>0</xdr:rowOff>
    </xdr:from>
    <xdr:to>
      <xdr:col>0</xdr:col>
      <xdr:colOff>105570</xdr:colOff>
      <xdr:row>8</xdr:row>
      <xdr:rowOff>0</xdr:rowOff>
    </xdr:to>
    <xdr:cxnSp macro="">
      <xdr:nvCxnSpPr>
        <xdr:cNvPr id="2" name="Straight Connector 1"/>
        <xdr:cNvCxnSpPr/>
      </xdr:nvCxnSpPr>
      <xdr:spPr>
        <a:xfrm rot="5400000">
          <a:off x="104776" y="1551781"/>
          <a:ext cx="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66676</xdr:colOff>
      <xdr:row>0</xdr:row>
      <xdr:rowOff>66675</xdr:rowOff>
    </xdr:from>
    <xdr:to>
      <xdr:col>2</xdr:col>
      <xdr:colOff>188384</xdr:colOff>
      <xdr:row>3</xdr:row>
      <xdr:rowOff>121920</xdr:rowOff>
    </xdr:to>
    <xdr:pic>
      <xdr:nvPicPr>
        <xdr:cNvPr id="3" name="Picture 2" descr="5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6" y="66675"/>
          <a:ext cx="883708" cy="63627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>
    <xdr:from>
      <xdr:col>2</xdr:col>
      <xdr:colOff>285750</xdr:colOff>
      <xdr:row>2</xdr:row>
      <xdr:rowOff>28576</xdr:rowOff>
    </xdr:from>
    <xdr:to>
      <xdr:col>7</xdr:col>
      <xdr:colOff>114300</xdr:colOff>
      <xdr:row>3</xdr:row>
      <xdr:rowOff>123826</xdr:rowOff>
    </xdr:to>
    <xdr:sp macro="" textlink="">
      <xdr:nvSpPr>
        <xdr:cNvPr id="4" name="Rectangle 3"/>
        <xdr:cNvSpPr/>
      </xdr:nvSpPr>
      <xdr:spPr>
        <a:xfrm>
          <a:off x="1047750" y="419101"/>
          <a:ext cx="2095500" cy="2857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1100"/>
            <a:t>Program Hitung Pondasi Tapak</a:t>
          </a:r>
        </a:p>
      </xdr:txBody>
    </xdr:sp>
    <xdr:clientData/>
  </xdr:twoCellAnchor>
  <xdr:twoCellAnchor>
    <xdr:from>
      <xdr:col>15</xdr:col>
      <xdr:colOff>15588</xdr:colOff>
      <xdr:row>0</xdr:row>
      <xdr:rowOff>13475</xdr:rowOff>
    </xdr:from>
    <xdr:to>
      <xdr:col>18</xdr:col>
      <xdr:colOff>1703</xdr:colOff>
      <xdr:row>0</xdr:row>
      <xdr:rowOff>15282</xdr:rowOff>
    </xdr:to>
    <xdr:cxnSp macro="">
      <xdr:nvCxnSpPr>
        <xdr:cNvPr id="5" name="Straight Connector 4"/>
        <xdr:cNvCxnSpPr/>
      </xdr:nvCxnSpPr>
      <xdr:spPr>
        <a:xfrm>
          <a:off x="6254463" y="13475"/>
          <a:ext cx="1881590" cy="1807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21062</xdr:colOff>
      <xdr:row>0</xdr:row>
      <xdr:rowOff>9453</xdr:rowOff>
    </xdr:from>
    <xdr:to>
      <xdr:col>15</xdr:col>
      <xdr:colOff>22713</xdr:colOff>
      <xdr:row>2</xdr:row>
      <xdr:rowOff>185267</xdr:rowOff>
    </xdr:to>
    <xdr:cxnSp macro="">
      <xdr:nvCxnSpPr>
        <xdr:cNvPr id="6" name="Straight Connector 5"/>
        <xdr:cNvCxnSpPr/>
      </xdr:nvCxnSpPr>
      <xdr:spPr>
        <a:xfrm rot="5400000">
          <a:off x="5977593" y="291797"/>
          <a:ext cx="566339" cy="1651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15588</xdr:colOff>
      <xdr:row>2</xdr:row>
      <xdr:rowOff>184362</xdr:rowOff>
    </xdr:from>
    <xdr:to>
      <xdr:col>18</xdr:col>
      <xdr:colOff>1703</xdr:colOff>
      <xdr:row>2</xdr:row>
      <xdr:rowOff>186169</xdr:rowOff>
    </xdr:to>
    <xdr:cxnSp macro="">
      <xdr:nvCxnSpPr>
        <xdr:cNvPr id="7" name="Straight Connector 6"/>
        <xdr:cNvCxnSpPr/>
      </xdr:nvCxnSpPr>
      <xdr:spPr>
        <a:xfrm>
          <a:off x="6254463" y="574887"/>
          <a:ext cx="1881590" cy="1807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2677</xdr:colOff>
      <xdr:row>0</xdr:row>
      <xdr:rowOff>9454</xdr:rowOff>
    </xdr:from>
    <xdr:to>
      <xdr:col>18</xdr:col>
      <xdr:colOff>4328</xdr:colOff>
      <xdr:row>2</xdr:row>
      <xdr:rowOff>185268</xdr:rowOff>
    </xdr:to>
    <xdr:cxnSp macro="">
      <xdr:nvCxnSpPr>
        <xdr:cNvPr id="8" name="Straight Connector 7"/>
        <xdr:cNvCxnSpPr/>
      </xdr:nvCxnSpPr>
      <xdr:spPr>
        <a:xfrm rot="5400000">
          <a:off x="7854683" y="291798"/>
          <a:ext cx="566339" cy="1651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67235</xdr:colOff>
      <xdr:row>11</xdr:row>
      <xdr:rowOff>89647</xdr:rowOff>
    </xdr:from>
    <xdr:to>
      <xdr:col>15</xdr:col>
      <xdr:colOff>537883</xdr:colOff>
      <xdr:row>11</xdr:row>
      <xdr:rowOff>91235</xdr:rowOff>
    </xdr:to>
    <xdr:cxnSp macro="">
      <xdr:nvCxnSpPr>
        <xdr:cNvPr id="80" name="Straight Connector 79"/>
        <xdr:cNvCxnSpPr/>
      </xdr:nvCxnSpPr>
      <xdr:spPr>
        <a:xfrm>
          <a:off x="2658035" y="56144272"/>
          <a:ext cx="5661773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56030</xdr:colOff>
      <xdr:row>12</xdr:row>
      <xdr:rowOff>112058</xdr:rowOff>
    </xdr:from>
    <xdr:to>
      <xdr:col>9</xdr:col>
      <xdr:colOff>501463</xdr:colOff>
      <xdr:row>14</xdr:row>
      <xdr:rowOff>1</xdr:rowOff>
    </xdr:to>
    <xdr:grpSp>
      <xdr:nvGrpSpPr>
        <xdr:cNvPr id="81" name="Group 80"/>
        <xdr:cNvGrpSpPr/>
      </xdr:nvGrpSpPr>
      <xdr:grpSpPr>
        <a:xfrm>
          <a:off x="4034118" y="2431676"/>
          <a:ext cx="445433" cy="268943"/>
          <a:chOff x="4078942" y="56432823"/>
          <a:chExt cx="493058" cy="268943"/>
        </a:xfrm>
      </xdr:grpSpPr>
      <xdr:cxnSp macro="">
        <xdr:nvCxnSpPr>
          <xdr:cNvPr id="82" name="Straight Connector 81"/>
          <xdr:cNvCxnSpPr/>
        </xdr:nvCxnSpPr>
        <xdr:spPr>
          <a:xfrm rot="16200000" flipH="1">
            <a:off x="4050927" y="56628926"/>
            <a:ext cx="89647" cy="3361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" name="Straight Connector 82"/>
          <xdr:cNvCxnSpPr/>
        </xdr:nvCxnSpPr>
        <xdr:spPr>
          <a:xfrm rot="5400000" flipH="1" flipV="1">
            <a:off x="4028515" y="56516869"/>
            <a:ext cx="268941" cy="10085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Straight Connector 83"/>
          <xdr:cNvCxnSpPr/>
        </xdr:nvCxnSpPr>
        <xdr:spPr>
          <a:xfrm>
            <a:off x="4213412" y="56432823"/>
            <a:ext cx="358588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156883</xdr:colOff>
      <xdr:row>13</xdr:row>
      <xdr:rowOff>100853</xdr:rowOff>
    </xdr:from>
    <xdr:to>
      <xdr:col>12</xdr:col>
      <xdr:colOff>437030</xdr:colOff>
      <xdr:row>13</xdr:row>
      <xdr:rowOff>102441</xdr:rowOff>
    </xdr:to>
    <xdr:cxnSp macro="">
      <xdr:nvCxnSpPr>
        <xdr:cNvPr id="85" name="Straight Connector 84"/>
        <xdr:cNvCxnSpPr/>
      </xdr:nvCxnSpPr>
      <xdr:spPr>
        <a:xfrm>
          <a:off x="4986058" y="56536478"/>
          <a:ext cx="142314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40900</xdr:colOff>
      <xdr:row>11</xdr:row>
      <xdr:rowOff>179294</xdr:rowOff>
    </xdr:from>
    <xdr:to>
      <xdr:col>13</xdr:col>
      <xdr:colOff>47625</xdr:colOff>
      <xdr:row>15</xdr:row>
      <xdr:rowOff>11206</xdr:rowOff>
    </xdr:to>
    <xdr:sp macro="" textlink="">
      <xdr:nvSpPr>
        <xdr:cNvPr id="86" name="Double Bracket 85"/>
        <xdr:cNvSpPr/>
      </xdr:nvSpPr>
      <xdr:spPr>
        <a:xfrm>
          <a:off x="4523253" y="2308412"/>
          <a:ext cx="903196" cy="59391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6</xdr:col>
      <xdr:colOff>67235</xdr:colOff>
      <xdr:row>17</xdr:row>
      <xdr:rowOff>89647</xdr:rowOff>
    </xdr:from>
    <xdr:to>
      <xdr:col>15</xdr:col>
      <xdr:colOff>537883</xdr:colOff>
      <xdr:row>17</xdr:row>
      <xdr:rowOff>91235</xdr:rowOff>
    </xdr:to>
    <xdr:cxnSp macro="">
      <xdr:nvCxnSpPr>
        <xdr:cNvPr id="87" name="Straight Connector 86"/>
        <xdr:cNvCxnSpPr/>
      </xdr:nvCxnSpPr>
      <xdr:spPr>
        <a:xfrm>
          <a:off x="2658035" y="57287272"/>
          <a:ext cx="5661773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56030</xdr:colOff>
      <xdr:row>18</xdr:row>
      <xdr:rowOff>112058</xdr:rowOff>
    </xdr:from>
    <xdr:to>
      <xdr:col>9</xdr:col>
      <xdr:colOff>501463</xdr:colOff>
      <xdr:row>20</xdr:row>
      <xdr:rowOff>1</xdr:rowOff>
    </xdr:to>
    <xdr:grpSp>
      <xdr:nvGrpSpPr>
        <xdr:cNvPr id="88" name="Group 87"/>
        <xdr:cNvGrpSpPr/>
      </xdr:nvGrpSpPr>
      <xdr:grpSpPr>
        <a:xfrm>
          <a:off x="4034118" y="3574676"/>
          <a:ext cx="445433" cy="268943"/>
          <a:chOff x="4078942" y="56432823"/>
          <a:chExt cx="493058" cy="268943"/>
        </a:xfrm>
      </xdr:grpSpPr>
      <xdr:cxnSp macro="">
        <xdr:nvCxnSpPr>
          <xdr:cNvPr id="89" name="Straight Connector 88"/>
          <xdr:cNvCxnSpPr/>
        </xdr:nvCxnSpPr>
        <xdr:spPr>
          <a:xfrm rot="16200000" flipH="1">
            <a:off x="4050927" y="56628926"/>
            <a:ext cx="89647" cy="3361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" name="Straight Connector 89"/>
          <xdr:cNvCxnSpPr/>
        </xdr:nvCxnSpPr>
        <xdr:spPr>
          <a:xfrm rot="5400000" flipH="1" flipV="1">
            <a:off x="4028515" y="56516869"/>
            <a:ext cx="268941" cy="10085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Straight Connector 90"/>
          <xdr:cNvCxnSpPr/>
        </xdr:nvCxnSpPr>
        <xdr:spPr>
          <a:xfrm>
            <a:off x="4213412" y="56432823"/>
            <a:ext cx="358588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156883</xdr:colOff>
      <xdr:row>19</xdr:row>
      <xdr:rowOff>100853</xdr:rowOff>
    </xdr:from>
    <xdr:to>
      <xdr:col>12</xdr:col>
      <xdr:colOff>437030</xdr:colOff>
      <xdr:row>19</xdr:row>
      <xdr:rowOff>102441</xdr:rowOff>
    </xdr:to>
    <xdr:cxnSp macro="">
      <xdr:nvCxnSpPr>
        <xdr:cNvPr id="92" name="Straight Connector 91"/>
        <xdr:cNvCxnSpPr/>
      </xdr:nvCxnSpPr>
      <xdr:spPr>
        <a:xfrm>
          <a:off x="4986058" y="57679478"/>
          <a:ext cx="142314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63311</xdr:colOff>
      <xdr:row>17</xdr:row>
      <xdr:rowOff>179294</xdr:rowOff>
    </xdr:from>
    <xdr:to>
      <xdr:col>13</xdr:col>
      <xdr:colOff>70036</xdr:colOff>
      <xdr:row>21</xdr:row>
      <xdr:rowOff>11206</xdr:rowOff>
    </xdr:to>
    <xdr:sp macro="" textlink="">
      <xdr:nvSpPr>
        <xdr:cNvPr id="93" name="Double Bracket 92"/>
        <xdr:cNvSpPr/>
      </xdr:nvSpPr>
      <xdr:spPr>
        <a:xfrm>
          <a:off x="4545664" y="3451412"/>
          <a:ext cx="903196" cy="59391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10</xdr:col>
      <xdr:colOff>89647</xdr:colOff>
      <xdr:row>10</xdr:row>
      <xdr:rowOff>0</xdr:rowOff>
    </xdr:from>
    <xdr:to>
      <xdr:col>11</xdr:col>
      <xdr:colOff>470647</xdr:colOff>
      <xdr:row>11</xdr:row>
      <xdr:rowOff>11206</xdr:rowOff>
    </xdr:to>
    <xdr:sp macro="" textlink="">
      <xdr:nvSpPr>
        <xdr:cNvPr id="94" name="Double Bracket 93"/>
        <xdr:cNvSpPr/>
      </xdr:nvSpPr>
      <xdr:spPr>
        <a:xfrm>
          <a:off x="4918822" y="55864125"/>
          <a:ext cx="885825" cy="201706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10</xdr:col>
      <xdr:colOff>89647</xdr:colOff>
      <xdr:row>16</xdr:row>
      <xdr:rowOff>0</xdr:rowOff>
    </xdr:from>
    <xdr:to>
      <xdr:col>11</xdr:col>
      <xdr:colOff>470647</xdr:colOff>
      <xdr:row>17</xdr:row>
      <xdr:rowOff>11206</xdr:rowOff>
    </xdr:to>
    <xdr:sp macro="" textlink="">
      <xdr:nvSpPr>
        <xdr:cNvPr id="95" name="Double Bracket 94"/>
        <xdr:cNvSpPr/>
      </xdr:nvSpPr>
      <xdr:spPr>
        <a:xfrm>
          <a:off x="4918822" y="57007125"/>
          <a:ext cx="885825" cy="201706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6</xdr:col>
      <xdr:colOff>67235</xdr:colOff>
      <xdr:row>23</xdr:row>
      <xdr:rowOff>89647</xdr:rowOff>
    </xdr:from>
    <xdr:to>
      <xdr:col>15</xdr:col>
      <xdr:colOff>537883</xdr:colOff>
      <xdr:row>23</xdr:row>
      <xdr:rowOff>91235</xdr:rowOff>
    </xdr:to>
    <xdr:cxnSp macro="">
      <xdr:nvCxnSpPr>
        <xdr:cNvPr id="96" name="Straight Connector 95"/>
        <xdr:cNvCxnSpPr/>
      </xdr:nvCxnSpPr>
      <xdr:spPr>
        <a:xfrm>
          <a:off x="2658035" y="58430272"/>
          <a:ext cx="5661773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469525</xdr:colOff>
      <xdr:row>24</xdr:row>
      <xdr:rowOff>112058</xdr:rowOff>
    </xdr:from>
    <xdr:to>
      <xdr:col>10</xdr:col>
      <xdr:colOff>370353</xdr:colOff>
      <xdr:row>26</xdr:row>
      <xdr:rowOff>1</xdr:rowOff>
    </xdr:to>
    <xdr:grpSp>
      <xdr:nvGrpSpPr>
        <xdr:cNvPr id="97" name="Group 96"/>
        <xdr:cNvGrpSpPr/>
      </xdr:nvGrpSpPr>
      <xdr:grpSpPr>
        <a:xfrm>
          <a:off x="4447613" y="4717676"/>
          <a:ext cx="405093" cy="268943"/>
          <a:chOff x="4078942" y="56432823"/>
          <a:chExt cx="493058" cy="268943"/>
        </a:xfrm>
      </xdr:grpSpPr>
      <xdr:cxnSp macro="">
        <xdr:nvCxnSpPr>
          <xdr:cNvPr id="98" name="Straight Connector 97"/>
          <xdr:cNvCxnSpPr/>
        </xdr:nvCxnSpPr>
        <xdr:spPr>
          <a:xfrm rot="16200000" flipH="1">
            <a:off x="4050927" y="56628926"/>
            <a:ext cx="89647" cy="3361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Straight Connector 98"/>
          <xdr:cNvCxnSpPr/>
        </xdr:nvCxnSpPr>
        <xdr:spPr>
          <a:xfrm rot="5400000" flipH="1" flipV="1">
            <a:off x="4028515" y="56516869"/>
            <a:ext cx="268941" cy="10085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Straight Connector 99"/>
          <xdr:cNvCxnSpPr/>
        </xdr:nvCxnSpPr>
        <xdr:spPr>
          <a:xfrm>
            <a:off x="4213412" y="56432823"/>
            <a:ext cx="358588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398368</xdr:colOff>
      <xdr:row>24</xdr:row>
      <xdr:rowOff>89645</xdr:rowOff>
    </xdr:from>
    <xdr:to>
      <xdr:col>13</xdr:col>
      <xdr:colOff>11204</xdr:colOff>
      <xdr:row>26</xdr:row>
      <xdr:rowOff>67234</xdr:rowOff>
    </xdr:to>
    <xdr:sp macro="" textlink="">
      <xdr:nvSpPr>
        <xdr:cNvPr id="101" name="Double Bracket 100"/>
        <xdr:cNvSpPr/>
      </xdr:nvSpPr>
      <xdr:spPr>
        <a:xfrm>
          <a:off x="4880721" y="4695263"/>
          <a:ext cx="509307" cy="358589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10</xdr:col>
      <xdr:colOff>89647</xdr:colOff>
      <xdr:row>22</xdr:row>
      <xdr:rowOff>0</xdr:rowOff>
    </xdr:from>
    <xdr:to>
      <xdr:col>11</xdr:col>
      <xdr:colOff>470647</xdr:colOff>
      <xdr:row>23</xdr:row>
      <xdr:rowOff>11206</xdr:rowOff>
    </xdr:to>
    <xdr:sp macro="" textlink="">
      <xdr:nvSpPr>
        <xdr:cNvPr id="102" name="Double Bracket 101"/>
        <xdr:cNvSpPr/>
      </xdr:nvSpPr>
      <xdr:spPr>
        <a:xfrm>
          <a:off x="4918822" y="58150125"/>
          <a:ext cx="885825" cy="201706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6</xdr:col>
      <xdr:colOff>112059</xdr:colOff>
      <xdr:row>31</xdr:row>
      <xdr:rowOff>78441</xdr:rowOff>
    </xdr:from>
    <xdr:to>
      <xdr:col>6</xdr:col>
      <xdr:colOff>381000</xdr:colOff>
      <xdr:row>31</xdr:row>
      <xdr:rowOff>80029</xdr:rowOff>
    </xdr:to>
    <xdr:cxnSp macro="">
      <xdr:nvCxnSpPr>
        <xdr:cNvPr id="104" name="Straight Connector 103"/>
        <xdr:cNvCxnSpPr/>
      </xdr:nvCxnSpPr>
      <xdr:spPr>
        <a:xfrm>
          <a:off x="2689412" y="6017559"/>
          <a:ext cx="268941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134470</xdr:colOff>
      <xdr:row>31</xdr:row>
      <xdr:rowOff>78441</xdr:rowOff>
    </xdr:from>
    <xdr:to>
      <xdr:col>8</xdr:col>
      <xdr:colOff>381000</xdr:colOff>
      <xdr:row>31</xdr:row>
      <xdr:rowOff>80029</xdr:rowOff>
    </xdr:to>
    <xdr:cxnSp macro="">
      <xdr:nvCxnSpPr>
        <xdr:cNvPr id="106" name="Straight Connector 105"/>
        <xdr:cNvCxnSpPr/>
      </xdr:nvCxnSpPr>
      <xdr:spPr>
        <a:xfrm>
          <a:off x="3608294" y="6017559"/>
          <a:ext cx="24653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112059</xdr:colOff>
      <xdr:row>35</xdr:row>
      <xdr:rowOff>78441</xdr:rowOff>
    </xdr:from>
    <xdr:to>
      <xdr:col>6</xdr:col>
      <xdr:colOff>381000</xdr:colOff>
      <xdr:row>35</xdr:row>
      <xdr:rowOff>80029</xdr:rowOff>
    </xdr:to>
    <xdr:cxnSp macro="">
      <xdr:nvCxnSpPr>
        <xdr:cNvPr id="107" name="Straight Connector 106"/>
        <xdr:cNvCxnSpPr/>
      </xdr:nvCxnSpPr>
      <xdr:spPr>
        <a:xfrm>
          <a:off x="2689412" y="6017559"/>
          <a:ext cx="268941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134470</xdr:colOff>
      <xdr:row>35</xdr:row>
      <xdr:rowOff>78441</xdr:rowOff>
    </xdr:from>
    <xdr:to>
      <xdr:col>8</xdr:col>
      <xdr:colOff>381000</xdr:colOff>
      <xdr:row>35</xdr:row>
      <xdr:rowOff>80029</xdr:rowOff>
    </xdr:to>
    <xdr:cxnSp macro="">
      <xdr:nvCxnSpPr>
        <xdr:cNvPr id="108" name="Straight Connector 107"/>
        <xdr:cNvCxnSpPr/>
      </xdr:nvCxnSpPr>
      <xdr:spPr>
        <a:xfrm>
          <a:off x="3608294" y="6017559"/>
          <a:ext cx="24653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156882</xdr:colOff>
      <xdr:row>46</xdr:row>
      <xdr:rowOff>11206</xdr:rowOff>
    </xdr:from>
    <xdr:to>
      <xdr:col>4</xdr:col>
      <xdr:colOff>302559</xdr:colOff>
      <xdr:row>46</xdr:row>
      <xdr:rowOff>12794</xdr:rowOff>
    </xdr:to>
    <xdr:cxnSp macro="">
      <xdr:nvCxnSpPr>
        <xdr:cNvPr id="110" name="Straight Connector 109"/>
        <xdr:cNvCxnSpPr/>
      </xdr:nvCxnSpPr>
      <xdr:spPr>
        <a:xfrm>
          <a:off x="1860176" y="8807824"/>
          <a:ext cx="14567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156882</xdr:colOff>
      <xdr:row>56</xdr:row>
      <xdr:rowOff>22413</xdr:rowOff>
    </xdr:from>
    <xdr:to>
      <xdr:col>4</xdr:col>
      <xdr:colOff>302559</xdr:colOff>
      <xdr:row>56</xdr:row>
      <xdr:rowOff>24001</xdr:rowOff>
    </xdr:to>
    <xdr:cxnSp macro="">
      <xdr:nvCxnSpPr>
        <xdr:cNvPr id="111" name="Straight Connector 110"/>
        <xdr:cNvCxnSpPr/>
      </xdr:nvCxnSpPr>
      <xdr:spPr>
        <a:xfrm>
          <a:off x="1860176" y="10724031"/>
          <a:ext cx="14567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224116</xdr:colOff>
      <xdr:row>80</xdr:row>
      <xdr:rowOff>180901</xdr:rowOff>
    </xdr:from>
    <xdr:to>
      <xdr:col>15</xdr:col>
      <xdr:colOff>473645</xdr:colOff>
      <xdr:row>105</xdr:row>
      <xdr:rowOff>75903</xdr:rowOff>
    </xdr:to>
    <xdr:pic>
      <xdr:nvPicPr>
        <xdr:cNvPr id="39" name="Picture 38" descr="tt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116" y="11454019"/>
          <a:ext cx="6480000" cy="4657502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0</xdr:col>
      <xdr:colOff>201706</xdr:colOff>
      <xdr:row>157</xdr:row>
      <xdr:rowOff>69945</xdr:rowOff>
    </xdr:from>
    <xdr:to>
      <xdr:col>11</xdr:col>
      <xdr:colOff>224118</xdr:colOff>
      <xdr:row>172</xdr:row>
      <xdr:rowOff>30812</xdr:rowOff>
    </xdr:to>
    <xdr:pic>
      <xdr:nvPicPr>
        <xdr:cNvPr id="41" name="Picture 40" descr="tt3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706" y="26011563"/>
          <a:ext cx="4908177" cy="2818367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0</xdr:col>
      <xdr:colOff>209970</xdr:colOff>
      <xdr:row>106</xdr:row>
      <xdr:rowOff>5042</xdr:rowOff>
    </xdr:from>
    <xdr:to>
      <xdr:col>15</xdr:col>
      <xdr:colOff>459499</xdr:colOff>
      <xdr:row>131</xdr:row>
      <xdr:rowOff>183541</xdr:rowOff>
    </xdr:to>
    <xdr:pic>
      <xdr:nvPicPr>
        <xdr:cNvPr id="43" name="Picture 42" descr="a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970" y="16231160"/>
          <a:ext cx="6480000" cy="4940999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0</xdr:col>
      <xdr:colOff>200830</xdr:colOff>
      <xdr:row>132</xdr:row>
      <xdr:rowOff>134468</xdr:rowOff>
    </xdr:from>
    <xdr:to>
      <xdr:col>15</xdr:col>
      <xdr:colOff>450359</xdr:colOff>
      <xdr:row>155</xdr:row>
      <xdr:rowOff>177593</xdr:rowOff>
    </xdr:to>
    <xdr:pic>
      <xdr:nvPicPr>
        <xdr:cNvPr id="44" name="Picture 43" descr="b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0830" y="21313586"/>
          <a:ext cx="6480000" cy="4424625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0</xdr:col>
      <xdr:colOff>224118</xdr:colOff>
      <xdr:row>78</xdr:row>
      <xdr:rowOff>67235</xdr:rowOff>
    </xdr:from>
    <xdr:to>
      <xdr:col>1</xdr:col>
      <xdr:colOff>150607</xdr:colOff>
      <xdr:row>80</xdr:row>
      <xdr:rowOff>6275</xdr:rowOff>
    </xdr:to>
    <xdr:pic>
      <xdr:nvPicPr>
        <xdr:cNvPr id="47" name="Picture 46" descr="1560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24118" y="14959853"/>
          <a:ext cx="441960" cy="3200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103982</xdr:colOff>
      <xdr:row>8</xdr:row>
      <xdr:rowOff>0</xdr:rowOff>
    </xdr:from>
    <xdr:to>
      <xdr:col>0</xdr:col>
      <xdr:colOff>105570</xdr:colOff>
      <xdr:row>8</xdr:row>
      <xdr:rowOff>0</xdr:rowOff>
    </xdr:to>
    <xdr:cxnSp macro="">
      <xdr:nvCxnSpPr>
        <xdr:cNvPr id="45" name="Straight Connector 44"/>
        <xdr:cNvCxnSpPr/>
      </xdr:nvCxnSpPr>
      <xdr:spPr>
        <a:xfrm rot="5400000">
          <a:off x="-100012" y="10682287"/>
          <a:ext cx="4095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66676</xdr:colOff>
      <xdr:row>0</xdr:row>
      <xdr:rowOff>66675</xdr:rowOff>
    </xdr:from>
    <xdr:to>
      <xdr:col>2</xdr:col>
      <xdr:colOff>188384</xdr:colOff>
      <xdr:row>3</xdr:row>
      <xdr:rowOff>121920</xdr:rowOff>
    </xdr:to>
    <xdr:pic>
      <xdr:nvPicPr>
        <xdr:cNvPr id="163" name="Picture 162" descr="5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6" y="66675"/>
          <a:ext cx="883708" cy="63627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>
    <xdr:from>
      <xdr:col>2</xdr:col>
      <xdr:colOff>285750</xdr:colOff>
      <xdr:row>2</xdr:row>
      <xdr:rowOff>28576</xdr:rowOff>
    </xdr:from>
    <xdr:to>
      <xdr:col>7</xdr:col>
      <xdr:colOff>114300</xdr:colOff>
      <xdr:row>3</xdr:row>
      <xdr:rowOff>123826</xdr:rowOff>
    </xdr:to>
    <xdr:sp macro="" textlink="">
      <xdr:nvSpPr>
        <xdr:cNvPr id="169" name="Rectangle 168"/>
        <xdr:cNvSpPr/>
      </xdr:nvSpPr>
      <xdr:spPr>
        <a:xfrm>
          <a:off x="1047750" y="409576"/>
          <a:ext cx="2095500" cy="2857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1100"/>
            <a:t>Program Hitung Pondasi Tapak</a:t>
          </a:r>
        </a:p>
      </xdr:txBody>
    </xdr:sp>
    <xdr:clientData/>
  </xdr:twoCellAnchor>
  <xdr:twoCellAnchor>
    <xdr:from>
      <xdr:col>15</xdr:col>
      <xdr:colOff>15588</xdr:colOff>
      <xdr:row>0</xdr:row>
      <xdr:rowOff>13475</xdr:rowOff>
    </xdr:from>
    <xdr:to>
      <xdr:col>18</xdr:col>
      <xdr:colOff>1703</xdr:colOff>
      <xdr:row>0</xdr:row>
      <xdr:rowOff>15282</xdr:rowOff>
    </xdr:to>
    <xdr:cxnSp macro="">
      <xdr:nvCxnSpPr>
        <xdr:cNvPr id="174" name="Straight Connector 173"/>
        <xdr:cNvCxnSpPr/>
      </xdr:nvCxnSpPr>
      <xdr:spPr>
        <a:xfrm>
          <a:off x="7140288" y="13475"/>
          <a:ext cx="1881590" cy="1807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21062</xdr:colOff>
      <xdr:row>0</xdr:row>
      <xdr:rowOff>9453</xdr:rowOff>
    </xdr:from>
    <xdr:to>
      <xdr:col>15</xdr:col>
      <xdr:colOff>22713</xdr:colOff>
      <xdr:row>2</xdr:row>
      <xdr:rowOff>185267</xdr:rowOff>
    </xdr:to>
    <xdr:cxnSp macro="">
      <xdr:nvCxnSpPr>
        <xdr:cNvPr id="193" name="Straight Connector 192"/>
        <xdr:cNvCxnSpPr/>
      </xdr:nvCxnSpPr>
      <xdr:spPr>
        <a:xfrm rot="5400000">
          <a:off x="6868181" y="287034"/>
          <a:ext cx="556814" cy="1651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15588</xdr:colOff>
      <xdr:row>2</xdr:row>
      <xdr:rowOff>184362</xdr:rowOff>
    </xdr:from>
    <xdr:to>
      <xdr:col>18</xdr:col>
      <xdr:colOff>1703</xdr:colOff>
      <xdr:row>2</xdr:row>
      <xdr:rowOff>186169</xdr:rowOff>
    </xdr:to>
    <xdr:cxnSp macro="">
      <xdr:nvCxnSpPr>
        <xdr:cNvPr id="197" name="Straight Connector 196"/>
        <xdr:cNvCxnSpPr/>
      </xdr:nvCxnSpPr>
      <xdr:spPr>
        <a:xfrm>
          <a:off x="7140288" y="565362"/>
          <a:ext cx="1881590" cy="1807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2677</xdr:colOff>
      <xdr:row>0</xdr:row>
      <xdr:rowOff>9454</xdr:rowOff>
    </xdr:from>
    <xdr:to>
      <xdr:col>18</xdr:col>
      <xdr:colOff>4328</xdr:colOff>
      <xdr:row>2</xdr:row>
      <xdr:rowOff>185268</xdr:rowOff>
    </xdr:to>
    <xdr:cxnSp macro="">
      <xdr:nvCxnSpPr>
        <xdr:cNvPr id="205" name="Straight Connector 204"/>
        <xdr:cNvCxnSpPr/>
      </xdr:nvCxnSpPr>
      <xdr:spPr>
        <a:xfrm rot="5400000">
          <a:off x="8745271" y="287035"/>
          <a:ext cx="556814" cy="1651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418463</xdr:colOff>
      <xdr:row>10</xdr:row>
      <xdr:rowOff>26578</xdr:rowOff>
    </xdr:from>
    <xdr:to>
      <xdr:col>9</xdr:col>
      <xdr:colOff>436528</xdr:colOff>
      <xdr:row>27</xdr:row>
      <xdr:rowOff>28078</xdr:rowOff>
    </xdr:to>
    <xdr:sp macro="" textlink="">
      <xdr:nvSpPr>
        <xdr:cNvPr id="207" name="Rectangle 206"/>
        <xdr:cNvSpPr/>
      </xdr:nvSpPr>
      <xdr:spPr>
        <a:xfrm>
          <a:off x="1180463" y="2346196"/>
          <a:ext cx="3234153" cy="32400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627372</xdr:colOff>
      <xdr:row>11</xdr:row>
      <xdr:rowOff>45629</xdr:rowOff>
    </xdr:from>
    <xdr:to>
      <xdr:col>9</xdr:col>
      <xdr:colOff>158298</xdr:colOff>
      <xdr:row>11</xdr:row>
      <xdr:rowOff>47217</xdr:rowOff>
    </xdr:to>
    <xdr:cxnSp macro="">
      <xdr:nvCxnSpPr>
        <xdr:cNvPr id="209" name="Straight Connector 208"/>
        <xdr:cNvCxnSpPr/>
      </xdr:nvCxnSpPr>
      <xdr:spPr>
        <a:xfrm>
          <a:off x="1389372" y="2555747"/>
          <a:ext cx="2747014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150631</xdr:colOff>
      <xdr:row>10</xdr:row>
      <xdr:rowOff>132148</xdr:rowOff>
    </xdr:from>
    <xdr:to>
      <xdr:col>3</xdr:col>
      <xdr:colOff>152214</xdr:colOff>
      <xdr:row>26</xdr:row>
      <xdr:rowOff>55948</xdr:rowOff>
    </xdr:to>
    <xdr:cxnSp macro="">
      <xdr:nvCxnSpPr>
        <xdr:cNvPr id="213" name="Straight Connector 212"/>
        <xdr:cNvCxnSpPr/>
      </xdr:nvCxnSpPr>
      <xdr:spPr>
        <a:xfrm rot="5400000">
          <a:off x="66258" y="3936874"/>
          <a:ext cx="2971800" cy="158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359709</xdr:colOff>
      <xdr:row>16</xdr:row>
      <xdr:rowOff>159929</xdr:rowOff>
    </xdr:from>
    <xdr:to>
      <xdr:col>7</xdr:col>
      <xdr:colOff>64897</xdr:colOff>
      <xdr:row>19</xdr:row>
      <xdr:rowOff>131354</xdr:rowOff>
    </xdr:to>
    <xdr:sp macro="" textlink="">
      <xdr:nvSpPr>
        <xdr:cNvPr id="215" name="Rectangle 214"/>
        <xdr:cNvSpPr/>
      </xdr:nvSpPr>
      <xdr:spPr>
        <a:xfrm>
          <a:off x="2511238" y="3622547"/>
          <a:ext cx="579247" cy="542925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78441</xdr:colOff>
      <xdr:row>10</xdr:row>
      <xdr:rowOff>794</xdr:rowOff>
    </xdr:from>
    <xdr:to>
      <xdr:col>2</xdr:col>
      <xdr:colOff>280147</xdr:colOff>
      <xdr:row>27</xdr:row>
      <xdr:rowOff>68029</xdr:rowOff>
    </xdr:to>
    <xdr:grpSp>
      <xdr:nvGrpSpPr>
        <xdr:cNvPr id="59" name="Group 58"/>
        <xdr:cNvGrpSpPr/>
      </xdr:nvGrpSpPr>
      <xdr:grpSpPr>
        <a:xfrm>
          <a:off x="840441" y="1939412"/>
          <a:ext cx="201706" cy="3305735"/>
          <a:chOff x="862853" y="1939412"/>
          <a:chExt cx="201706" cy="3305735"/>
        </a:xfrm>
      </xdr:grpSpPr>
      <xdr:cxnSp macro="">
        <xdr:nvCxnSpPr>
          <xdr:cNvPr id="52" name="Straight Connector 51"/>
          <xdr:cNvCxnSpPr/>
        </xdr:nvCxnSpPr>
        <xdr:spPr>
          <a:xfrm rot="5400000">
            <a:off x="224118" y="2678206"/>
            <a:ext cx="1479176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Straight Connector 53"/>
          <xdr:cNvCxnSpPr/>
        </xdr:nvCxnSpPr>
        <xdr:spPr>
          <a:xfrm rot="5400000">
            <a:off x="168088" y="4459941"/>
            <a:ext cx="1568824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Straight Connector 55"/>
          <xdr:cNvCxnSpPr/>
        </xdr:nvCxnSpPr>
        <xdr:spPr>
          <a:xfrm>
            <a:off x="896471" y="1983441"/>
            <a:ext cx="156882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Connector 57"/>
          <xdr:cNvCxnSpPr/>
        </xdr:nvCxnSpPr>
        <xdr:spPr>
          <a:xfrm>
            <a:off x="862853" y="5199529"/>
            <a:ext cx="201706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148078</xdr:colOff>
      <xdr:row>18</xdr:row>
      <xdr:rowOff>78449</xdr:rowOff>
    </xdr:from>
    <xdr:to>
      <xdr:col>3</xdr:col>
      <xdr:colOff>260136</xdr:colOff>
      <xdr:row>19</xdr:row>
      <xdr:rowOff>44830</xdr:rowOff>
    </xdr:to>
    <xdr:sp macro="" textlink="">
      <xdr:nvSpPr>
        <xdr:cNvPr id="60" name="Isosceles Triangle 59"/>
        <xdr:cNvSpPr/>
      </xdr:nvSpPr>
      <xdr:spPr>
        <a:xfrm rot="5400000">
          <a:off x="1526401" y="3563479"/>
          <a:ext cx="156881" cy="112058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3</xdr:col>
      <xdr:colOff>56030</xdr:colOff>
      <xdr:row>19</xdr:row>
      <xdr:rowOff>112064</xdr:rowOff>
    </xdr:from>
    <xdr:to>
      <xdr:col>3</xdr:col>
      <xdr:colOff>268941</xdr:colOff>
      <xdr:row>19</xdr:row>
      <xdr:rowOff>113652</xdr:rowOff>
    </xdr:to>
    <xdr:cxnSp macro="">
      <xdr:nvCxnSpPr>
        <xdr:cNvPr id="62" name="Straight Connector 61"/>
        <xdr:cNvCxnSpPr/>
      </xdr:nvCxnSpPr>
      <xdr:spPr>
        <a:xfrm>
          <a:off x="1456765" y="3765182"/>
          <a:ext cx="212911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268147</xdr:colOff>
      <xdr:row>10</xdr:row>
      <xdr:rowOff>146470</xdr:rowOff>
    </xdr:from>
    <xdr:to>
      <xdr:col>5</xdr:col>
      <xdr:colOff>269735</xdr:colOff>
      <xdr:row>11</xdr:row>
      <xdr:rowOff>168882</xdr:rowOff>
    </xdr:to>
    <xdr:cxnSp macro="">
      <xdr:nvCxnSpPr>
        <xdr:cNvPr id="65" name="Straight Connector 64"/>
        <xdr:cNvCxnSpPr/>
      </xdr:nvCxnSpPr>
      <xdr:spPr>
        <a:xfrm rot="5400000">
          <a:off x="2314014" y="2190750"/>
          <a:ext cx="212912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358587</xdr:colOff>
      <xdr:row>11</xdr:row>
      <xdr:rowOff>47227</xdr:rowOff>
    </xdr:from>
    <xdr:to>
      <xdr:col>6</xdr:col>
      <xdr:colOff>89644</xdr:colOff>
      <xdr:row>11</xdr:row>
      <xdr:rowOff>159285</xdr:rowOff>
    </xdr:to>
    <xdr:sp macro="" textlink="">
      <xdr:nvSpPr>
        <xdr:cNvPr id="66" name="Isosceles Triangle 65"/>
        <xdr:cNvSpPr/>
      </xdr:nvSpPr>
      <xdr:spPr>
        <a:xfrm rot="10800000">
          <a:off x="2510116" y="2176345"/>
          <a:ext cx="156881" cy="112058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4</xdr:col>
      <xdr:colOff>313765</xdr:colOff>
      <xdr:row>11</xdr:row>
      <xdr:rowOff>34412</xdr:rowOff>
    </xdr:from>
    <xdr:to>
      <xdr:col>5</xdr:col>
      <xdr:colOff>235324</xdr:colOff>
      <xdr:row>28</xdr:row>
      <xdr:rowOff>134473</xdr:rowOff>
    </xdr:to>
    <xdr:grpSp>
      <xdr:nvGrpSpPr>
        <xdr:cNvPr id="74" name="Group 73"/>
        <xdr:cNvGrpSpPr/>
      </xdr:nvGrpSpPr>
      <xdr:grpSpPr>
        <a:xfrm>
          <a:off x="2017059" y="2163530"/>
          <a:ext cx="369794" cy="3338561"/>
          <a:chOff x="2017059" y="2163530"/>
          <a:chExt cx="369794" cy="3338561"/>
        </a:xfrm>
      </xdr:grpSpPr>
      <xdr:cxnSp macro="">
        <xdr:nvCxnSpPr>
          <xdr:cNvPr id="70" name="Straight Arrow Connector 69"/>
          <xdr:cNvCxnSpPr/>
        </xdr:nvCxnSpPr>
        <xdr:spPr>
          <a:xfrm rot="5400000" flipH="1" flipV="1">
            <a:off x="359384" y="3832415"/>
            <a:ext cx="3338561" cy="792"/>
          </a:xfrm>
          <a:prstGeom prst="straightConnector1">
            <a:avLst/>
          </a:prstGeom>
          <a:ln>
            <a:solidFill>
              <a:srgbClr val="00B05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Straight Connector 72"/>
          <xdr:cNvCxnSpPr/>
        </xdr:nvCxnSpPr>
        <xdr:spPr>
          <a:xfrm>
            <a:off x="2017059" y="5490882"/>
            <a:ext cx="369794" cy="1588"/>
          </a:xfrm>
          <a:prstGeom prst="line">
            <a:avLst/>
          </a:prstGeom>
          <a:ln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156884</xdr:colOff>
      <xdr:row>21</xdr:row>
      <xdr:rowOff>67235</xdr:rowOff>
    </xdr:from>
    <xdr:to>
      <xdr:col>4</xdr:col>
      <xdr:colOff>324972</xdr:colOff>
      <xdr:row>21</xdr:row>
      <xdr:rowOff>68823</xdr:rowOff>
    </xdr:to>
    <xdr:cxnSp macro="">
      <xdr:nvCxnSpPr>
        <xdr:cNvPr id="76" name="Straight Arrow Connector 75"/>
        <xdr:cNvCxnSpPr/>
      </xdr:nvCxnSpPr>
      <xdr:spPr>
        <a:xfrm rot="10800000">
          <a:off x="1557619" y="4101353"/>
          <a:ext cx="470647" cy="1588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224117</xdr:colOff>
      <xdr:row>15</xdr:row>
      <xdr:rowOff>180088</xdr:rowOff>
    </xdr:from>
    <xdr:to>
      <xdr:col>10</xdr:col>
      <xdr:colOff>168882</xdr:colOff>
      <xdr:row>18</xdr:row>
      <xdr:rowOff>12794</xdr:rowOff>
    </xdr:to>
    <xdr:grpSp>
      <xdr:nvGrpSpPr>
        <xdr:cNvPr id="90" name="Group 89"/>
        <xdr:cNvGrpSpPr/>
      </xdr:nvGrpSpPr>
      <xdr:grpSpPr>
        <a:xfrm>
          <a:off x="3697941" y="3071206"/>
          <a:ext cx="953294" cy="404206"/>
          <a:chOff x="3697941" y="3071206"/>
          <a:chExt cx="953294" cy="404206"/>
        </a:xfrm>
      </xdr:grpSpPr>
      <xdr:cxnSp macro="">
        <xdr:nvCxnSpPr>
          <xdr:cNvPr id="87" name="Straight Connector 86"/>
          <xdr:cNvCxnSpPr/>
        </xdr:nvCxnSpPr>
        <xdr:spPr>
          <a:xfrm>
            <a:off x="3697941" y="3473824"/>
            <a:ext cx="952500" cy="1588"/>
          </a:xfrm>
          <a:prstGeom prst="line">
            <a:avLst/>
          </a:prstGeom>
          <a:ln w="19050">
            <a:solidFill>
              <a:sysClr val="windowText" lastClr="000000"/>
            </a:solidFill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" name="Straight Arrow Connector 88"/>
          <xdr:cNvCxnSpPr/>
        </xdr:nvCxnSpPr>
        <xdr:spPr>
          <a:xfrm rot="5400000" flipH="1" flipV="1">
            <a:off x="4448735" y="3272118"/>
            <a:ext cx="403412" cy="1588"/>
          </a:xfrm>
          <a:prstGeom prst="straightConnector1">
            <a:avLst/>
          </a:prstGeom>
          <a:ln w="19050">
            <a:solidFill>
              <a:sysClr val="windowText" lastClr="000000"/>
            </a:solidFill>
            <a:prstDash val="lgDashDot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235323</xdr:colOff>
      <xdr:row>14</xdr:row>
      <xdr:rowOff>134470</xdr:rowOff>
    </xdr:from>
    <xdr:to>
      <xdr:col>11</xdr:col>
      <xdr:colOff>224117</xdr:colOff>
      <xdr:row>16</xdr:row>
      <xdr:rowOff>145676</xdr:rowOff>
    </xdr:to>
    <xdr:sp macro="" textlink="">
      <xdr:nvSpPr>
        <xdr:cNvPr id="91" name="Oval 90"/>
        <xdr:cNvSpPr/>
      </xdr:nvSpPr>
      <xdr:spPr>
        <a:xfrm>
          <a:off x="4717676" y="2835088"/>
          <a:ext cx="392206" cy="392206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1400" b="1"/>
            <a:t>1</a:t>
          </a:r>
        </a:p>
      </xdr:txBody>
    </xdr:sp>
    <xdr:clientData/>
  </xdr:twoCellAnchor>
  <xdr:twoCellAnchor editAs="oneCell">
    <xdr:from>
      <xdr:col>12</xdr:col>
      <xdr:colOff>44823</xdr:colOff>
      <xdr:row>10</xdr:row>
      <xdr:rowOff>15688</xdr:rowOff>
    </xdr:from>
    <xdr:to>
      <xdr:col>19</xdr:col>
      <xdr:colOff>240453</xdr:colOff>
      <xdr:row>31</xdr:row>
      <xdr:rowOff>123265</xdr:rowOff>
    </xdr:to>
    <xdr:pic>
      <xdr:nvPicPr>
        <xdr:cNvPr id="123" name="Picture 122" descr="Image 3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7117" y="1954306"/>
          <a:ext cx="3781512" cy="416410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7813</xdr:colOff>
      <xdr:row>56</xdr:row>
      <xdr:rowOff>56027</xdr:rowOff>
    </xdr:from>
    <xdr:to>
      <xdr:col>14</xdr:col>
      <xdr:colOff>276930</xdr:colOff>
      <xdr:row>62</xdr:row>
      <xdr:rowOff>98255</xdr:rowOff>
    </xdr:to>
    <xdr:pic>
      <xdr:nvPicPr>
        <xdr:cNvPr id="129" name="Picture 128" descr="1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6901" y="11867027"/>
          <a:ext cx="5760000" cy="118522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11207</xdr:colOff>
      <xdr:row>51</xdr:row>
      <xdr:rowOff>145676</xdr:rowOff>
    </xdr:from>
    <xdr:to>
      <xdr:col>14</xdr:col>
      <xdr:colOff>280324</xdr:colOff>
      <xdr:row>54</xdr:row>
      <xdr:rowOff>70212</xdr:rowOff>
    </xdr:to>
    <xdr:pic>
      <xdr:nvPicPr>
        <xdr:cNvPr id="137" name="Picture 136" descr="2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0295" y="11004176"/>
          <a:ext cx="5760000" cy="496036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11206</xdr:colOff>
      <xdr:row>64</xdr:row>
      <xdr:rowOff>69078</xdr:rowOff>
    </xdr:from>
    <xdr:to>
      <xdr:col>14</xdr:col>
      <xdr:colOff>280323</xdr:colOff>
      <xdr:row>73</xdr:row>
      <xdr:rowOff>37515</xdr:rowOff>
    </xdr:to>
    <xdr:pic>
      <xdr:nvPicPr>
        <xdr:cNvPr id="138" name="Picture 137" descr="3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0294" y="13404078"/>
          <a:ext cx="5760000" cy="168293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3</xdr:col>
      <xdr:colOff>56030</xdr:colOff>
      <xdr:row>19</xdr:row>
      <xdr:rowOff>174866</xdr:rowOff>
    </xdr:from>
    <xdr:to>
      <xdr:col>3</xdr:col>
      <xdr:colOff>268941</xdr:colOff>
      <xdr:row>19</xdr:row>
      <xdr:rowOff>176454</xdr:rowOff>
    </xdr:to>
    <xdr:cxnSp macro="">
      <xdr:nvCxnSpPr>
        <xdr:cNvPr id="147" name="Straight Connector 146"/>
        <xdr:cNvCxnSpPr/>
      </xdr:nvCxnSpPr>
      <xdr:spPr>
        <a:xfrm>
          <a:off x="1563283" y="3785992"/>
          <a:ext cx="212911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4554</xdr:colOff>
      <xdr:row>33</xdr:row>
      <xdr:rowOff>34411</xdr:rowOff>
    </xdr:from>
    <xdr:to>
      <xdr:col>10</xdr:col>
      <xdr:colOff>345380</xdr:colOff>
      <xdr:row>46</xdr:row>
      <xdr:rowOff>34411</xdr:rowOff>
    </xdr:to>
    <xdr:grpSp>
      <xdr:nvGrpSpPr>
        <xdr:cNvPr id="79" name="Group 78"/>
        <xdr:cNvGrpSpPr/>
      </xdr:nvGrpSpPr>
      <xdr:grpSpPr>
        <a:xfrm>
          <a:off x="766554" y="6421764"/>
          <a:ext cx="4061179" cy="2476500"/>
          <a:chOff x="766554" y="6421764"/>
          <a:chExt cx="4061179" cy="2476500"/>
        </a:xfrm>
      </xdr:grpSpPr>
      <xdr:cxnSp macro="">
        <xdr:nvCxnSpPr>
          <xdr:cNvPr id="246" name="Straight Connector 245"/>
          <xdr:cNvCxnSpPr/>
        </xdr:nvCxnSpPr>
        <xdr:spPr>
          <a:xfrm>
            <a:off x="1151098" y="8594919"/>
            <a:ext cx="3270153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0" name="Straight Connector 249"/>
          <xdr:cNvCxnSpPr/>
        </xdr:nvCxnSpPr>
        <xdr:spPr>
          <a:xfrm>
            <a:off x="2280576" y="6804219"/>
            <a:ext cx="1041759" cy="1588"/>
          </a:xfrm>
          <a:prstGeom prst="line">
            <a:avLst/>
          </a:prstGeom>
          <a:ln>
            <a:solidFill>
              <a:sysClr val="windowText" lastClr="000000"/>
            </a:solidFill>
            <a:prstDash val="lgDashDot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12" name="Group 111"/>
          <xdr:cNvGrpSpPr/>
        </xdr:nvGrpSpPr>
        <xdr:grpSpPr>
          <a:xfrm>
            <a:off x="1140875" y="6671662"/>
            <a:ext cx="3303384" cy="1924051"/>
            <a:chOff x="1140875" y="6245838"/>
            <a:chExt cx="3303384" cy="1924051"/>
          </a:xfrm>
        </xdr:grpSpPr>
        <xdr:cxnSp macro="">
          <xdr:nvCxnSpPr>
            <xdr:cNvPr id="240" name="Straight Connector 239"/>
            <xdr:cNvCxnSpPr/>
          </xdr:nvCxnSpPr>
          <xdr:spPr>
            <a:xfrm rot="5400000">
              <a:off x="760662" y="7788102"/>
              <a:ext cx="762000" cy="1573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1" name="Straight Connector 240"/>
            <xdr:cNvCxnSpPr/>
          </xdr:nvCxnSpPr>
          <xdr:spPr>
            <a:xfrm rot="5400000">
              <a:off x="4054106" y="7788102"/>
              <a:ext cx="762000" cy="1573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3" name="Straight Connector 242"/>
            <xdr:cNvCxnSpPr/>
          </xdr:nvCxnSpPr>
          <xdr:spPr>
            <a:xfrm>
              <a:off x="1141662" y="7397570"/>
              <a:ext cx="1338852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8" name="Straight Connector 247"/>
            <xdr:cNvCxnSpPr/>
          </xdr:nvCxnSpPr>
          <xdr:spPr>
            <a:xfrm rot="5400000" flipH="1" flipV="1">
              <a:off x="1899577" y="6826077"/>
              <a:ext cx="1143000" cy="1573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2" name="Straight Connector 251"/>
            <xdr:cNvCxnSpPr/>
          </xdr:nvCxnSpPr>
          <xdr:spPr>
            <a:xfrm rot="5400000">
              <a:off x="2571998" y="6821314"/>
              <a:ext cx="1152525" cy="1573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5" name="Straight Connector 254"/>
            <xdr:cNvCxnSpPr/>
          </xdr:nvCxnSpPr>
          <xdr:spPr>
            <a:xfrm>
              <a:off x="3148259" y="7397570"/>
              <a:ext cx="1296000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67" name="Oval 266"/>
          <xdr:cNvSpPr/>
        </xdr:nvSpPr>
        <xdr:spPr>
          <a:xfrm>
            <a:off x="1229727" y="8398297"/>
            <a:ext cx="72000" cy="72000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270" name="Oval 269"/>
          <xdr:cNvSpPr/>
        </xdr:nvSpPr>
        <xdr:spPr>
          <a:xfrm>
            <a:off x="1721081" y="8398297"/>
            <a:ext cx="72000" cy="72000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271" name="Oval 270"/>
          <xdr:cNvSpPr/>
        </xdr:nvSpPr>
        <xdr:spPr>
          <a:xfrm>
            <a:off x="2241046" y="8398297"/>
            <a:ext cx="72000" cy="72000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272" name="Oval 271"/>
          <xdr:cNvSpPr/>
        </xdr:nvSpPr>
        <xdr:spPr>
          <a:xfrm>
            <a:off x="2757170" y="8398297"/>
            <a:ext cx="72000" cy="72000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273" name="Oval 272"/>
          <xdr:cNvSpPr/>
        </xdr:nvSpPr>
        <xdr:spPr>
          <a:xfrm>
            <a:off x="3302364" y="8398297"/>
            <a:ext cx="72000" cy="72000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274" name="Oval 273"/>
          <xdr:cNvSpPr/>
        </xdr:nvSpPr>
        <xdr:spPr>
          <a:xfrm>
            <a:off x="3784293" y="8398297"/>
            <a:ext cx="72000" cy="72000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sp macro="" textlink="">
        <xdr:nvSpPr>
          <xdr:cNvPr id="275" name="Oval 274"/>
          <xdr:cNvSpPr/>
        </xdr:nvSpPr>
        <xdr:spPr>
          <a:xfrm>
            <a:off x="4273396" y="8398297"/>
            <a:ext cx="72000" cy="72000"/>
          </a:xfrm>
          <a:prstGeom prst="ellipse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d-ID" sz="1100"/>
          </a:p>
        </xdr:txBody>
      </xdr:sp>
      <xdr:cxnSp macro="">
        <xdr:nvCxnSpPr>
          <xdr:cNvPr id="311" name="Straight Connector 310"/>
          <xdr:cNvCxnSpPr/>
        </xdr:nvCxnSpPr>
        <xdr:spPr>
          <a:xfrm rot="5400000">
            <a:off x="1793183" y="7585222"/>
            <a:ext cx="1569743" cy="140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2" name="Straight Connector 311"/>
          <xdr:cNvCxnSpPr/>
        </xdr:nvCxnSpPr>
        <xdr:spPr>
          <a:xfrm rot="16200000" flipH="1">
            <a:off x="2267145" y="7578733"/>
            <a:ext cx="1559142" cy="256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6" name="Line 456"/>
          <xdr:cNvSpPr>
            <a:spLocks noChangeShapeType="1"/>
          </xdr:cNvSpPr>
        </xdr:nvSpPr>
        <xdr:spPr bwMode="auto">
          <a:xfrm>
            <a:off x="766554" y="8609160"/>
            <a:ext cx="4061179" cy="0"/>
          </a:xfrm>
          <a:prstGeom prst="line">
            <a:avLst/>
          </a:prstGeom>
          <a:noFill/>
          <a:ln w="2476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120" name="Group 119"/>
          <xdr:cNvGrpSpPr/>
        </xdr:nvGrpSpPr>
        <xdr:grpSpPr>
          <a:xfrm>
            <a:off x="1098176" y="8707764"/>
            <a:ext cx="3372972" cy="190500"/>
            <a:chOff x="1098176" y="8315558"/>
            <a:chExt cx="3372972" cy="190500"/>
          </a:xfrm>
        </xdr:grpSpPr>
        <xdr:cxnSp macro="">
          <xdr:nvCxnSpPr>
            <xdr:cNvPr id="43" name="Straight Connector 42"/>
            <xdr:cNvCxnSpPr/>
          </xdr:nvCxnSpPr>
          <xdr:spPr>
            <a:xfrm>
              <a:off x="1098176" y="8404411"/>
              <a:ext cx="1299882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Straight Connector 43"/>
            <xdr:cNvCxnSpPr/>
          </xdr:nvCxnSpPr>
          <xdr:spPr>
            <a:xfrm>
              <a:off x="3171266" y="8404411"/>
              <a:ext cx="1299882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Straight Connector 46"/>
            <xdr:cNvCxnSpPr/>
          </xdr:nvCxnSpPr>
          <xdr:spPr>
            <a:xfrm rot="5400000">
              <a:off x="1036543" y="8410014"/>
              <a:ext cx="190500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Straight Connector 48"/>
            <xdr:cNvCxnSpPr/>
          </xdr:nvCxnSpPr>
          <xdr:spPr>
            <a:xfrm rot="5400000">
              <a:off x="4342280" y="8410014"/>
              <a:ext cx="190500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04" name="Group 103"/>
          <xdr:cNvGrpSpPr/>
        </xdr:nvGrpSpPr>
        <xdr:grpSpPr>
          <a:xfrm>
            <a:off x="2420471" y="6421764"/>
            <a:ext cx="818029" cy="168089"/>
            <a:chOff x="2420471" y="5995940"/>
            <a:chExt cx="818029" cy="168089"/>
          </a:xfrm>
        </xdr:grpSpPr>
        <xdr:cxnSp macro="">
          <xdr:nvCxnSpPr>
            <xdr:cNvPr id="97" name="Straight Connector 96"/>
            <xdr:cNvCxnSpPr/>
          </xdr:nvCxnSpPr>
          <xdr:spPr>
            <a:xfrm>
              <a:off x="2420471" y="6073588"/>
              <a:ext cx="246529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" name="Straight Connector 98"/>
            <xdr:cNvCxnSpPr/>
          </xdr:nvCxnSpPr>
          <xdr:spPr>
            <a:xfrm>
              <a:off x="2947147" y="6084794"/>
              <a:ext cx="291353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1" name="Straight Connector 100"/>
            <xdr:cNvCxnSpPr/>
          </xdr:nvCxnSpPr>
          <xdr:spPr>
            <a:xfrm rot="5400000">
              <a:off x="2381250" y="6067985"/>
              <a:ext cx="145677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3" name="Straight Connector 102"/>
            <xdr:cNvCxnSpPr/>
          </xdr:nvCxnSpPr>
          <xdr:spPr>
            <a:xfrm rot="5400000">
              <a:off x="3070412" y="6084794"/>
              <a:ext cx="156882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06" name="Straight Connector 105"/>
          <xdr:cNvCxnSpPr/>
        </xdr:nvCxnSpPr>
        <xdr:spPr>
          <a:xfrm>
            <a:off x="1210235" y="8516471"/>
            <a:ext cx="3171265" cy="1588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11" name="Group 110"/>
          <xdr:cNvGrpSpPr/>
        </xdr:nvGrpSpPr>
        <xdr:grpSpPr>
          <a:xfrm>
            <a:off x="806823" y="7811293"/>
            <a:ext cx="168089" cy="862853"/>
            <a:chOff x="907677" y="7385469"/>
            <a:chExt cx="168089" cy="862853"/>
          </a:xfrm>
        </xdr:grpSpPr>
        <xdr:cxnSp macro="">
          <xdr:nvCxnSpPr>
            <xdr:cNvPr id="108" name="Straight Connector 107"/>
            <xdr:cNvCxnSpPr/>
          </xdr:nvCxnSpPr>
          <xdr:spPr>
            <a:xfrm rot="5400000">
              <a:off x="577103" y="7816102"/>
              <a:ext cx="862853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0" name="Straight Connector 109"/>
            <xdr:cNvCxnSpPr/>
          </xdr:nvCxnSpPr>
          <xdr:spPr>
            <a:xfrm rot="10800000">
              <a:off x="907677" y="7395882"/>
              <a:ext cx="168089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19" name="Group 118"/>
          <xdr:cNvGrpSpPr/>
        </xdr:nvGrpSpPr>
        <xdr:grpSpPr>
          <a:xfrm>
            <a:off x="4538382" y="7811294"/>
            <a:ext cx="179294" cy="795618"/>
            <a:chOff x="4538382" y="7385470"/>
            <a:chExt cx="179294" cy="795618"/>
          </a:xfrm>
        </xdr:grpSpPr>
        <xdr:cxnSp macro="">
          <xdr:nvCxnSpPr>
            <xdr:cNvPr id="114" name="Straight Connector 113"/>
            <xdr:cNvCxnSpPr/>
          </xdr:nvCxnSpPr>
          <xdr:spPr>
            <a:xfrm rot="5400000">
              <a:off x="4219015" y="7782485"/>
              <a:ext cx="795618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" name="Straight Connector 115"/>
            <xdr:cNvCxnSpPr/>
          </xdr:nvCxnSpPr>
          <xdr:spPr>
            <a:xfrm>
              <a:off x="4538382" y="7407088"/>
              <a:ext cx="179294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8" name="Straight Connector 117"/>
            <xdr:cNvCxnSpPr/>
          </xdr:nvCxnSpPr>
          <xdr:spPr>
            <a:xfrm>
              <a:off x="4560794" y="8001000"/>
              <a:ext cx="145677" cy="1588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25" name="Straight Connector 124"/>
          <xdr:cNvCxnSpPr/>
        </xdr:nvCxnSpPr>
        <xdr:spPr>
          <a:xfrm>
            <a:off x="2218765" y="8359588"/>
            <a:ext cx="358588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" name="Straight Connector 125"/>
          <xdr:cNvCxnSpPr/>
        </xdr:nvCxnSpPr>
        <xdr:spPr>
          <a:xfrm>
            <a:off x="3048001" y="8359588"/>
            <a:ext cx="358588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4" name="Group 93"/>
          <xdr:cNvGrpSpPr/>
        </xdr:nvGrpSpPr>
        <xdr:grpSpPr>
          <a:xfrm>
            <a:off x="2829171" y="7631205"/>
            <a:ext cx="835154" cy="863647"/>
            <a:chOff x="2829171" y="7631205"/>
            <a:chExt cx="835154" cy="863647"/>
          </a:xfrm>
        </xdr:grpSpPr>
        <xdr:grpSp>
          <xdr:nvGrpSpPr>
            <xdr:cNvPr id="85" name="Group 84"/>
            <xdr:cNvGrpSpPr/>
          </xdr:nvGrpSpPr>
          <xdr:grpSpPr>
            <a:xfrm>
              <a:off x="3473031" y="7631206"/>
              <a:ext cx="191294" cy="863646"/>
              <a:chOff x="3551472" y="7608794"/>
              <a:chExt cx="124057" cy="886058"/>
            </a:xfrm>
          </xdr:grpSpPr>
          <xdr:cxnSp macro="">
            <xdr:nvCxnSpPr>
              <xdr:cNvPr id="82" name="Straight Arrow Connector 81"/>
              <xdr:cNvCxnSpPr/>
            </xdr:nvCxnSpPr>
            <xdr:spPr>
              <a:xfrm rot="5400000">
                <a:off x="3109633" y="8051426"/>
                <a:ext cx="885265" cy="1588"/>
              </a:xfrm>
              <a:prstGeom prst="straightConnector1">
                <a:avLst/>
              </a:prstGeom>
              <a:ln>
                <a:solidFill>
                  <a:sysClr val="windowText" lastClr="00000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4" name="Straight Connector 83"/>
              <xdr:cNvCxnSpPr/>
            </xdr:nvCxnSpPr>
            <xdr:spPr>
              <a:xfrm>
                <a:off x="3552265" y="7608794"/>
                <a:ext cx="123264" cy="158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93" name="Straight Arrow Connector 92"/>
            <xdr:cNvCxnSpPr/>
          </xdr:nvCxnSpPr>
          <xdr:spPr>
            <a:xfrm rot="5400000">
              <a:off x="2744349" y="7716027"/>
              <a:ext cx="814297" cy="644654"/>
            </a:xfrm>
            <a:prstGeom prst="straightConnector1">
              <a:avLst/>
            </a:prstGeom>
            <a:ln>
              <a:solidFill>
                <a:sysClr val="windowText" lastClr="00000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17</xdr:col>
      <xdr:colOff>504265</xdr:colOff>
      <xdr:row>71</xdr:row>
      <xdr:rowOff>22411</xdr:rowOff>
    </xdr:from>
    <xdr:to>
      <xdr:col>19</xdr:col>
      <xdr:colOff>362324</xdr:colOff>
      <xdr:row>76</xdr:row>
      <xdr:rowOff>138205</xdr:rowOff>
    </xdr:to>
    <xdr:pic>
      <xdr:nvPicPr>
        <xdr:cNvPr id="80" name="Picture 79" descr="313.jpg">
          <a:hlinkClick xmlns:r="http://schemas.openxmlformats.org/officeDocument/2006/relationships" r:id="rId7" tooltip="Kembali Ke Input Awal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12206" y="13693587"/>
          <a:ext cx="1068294" cy="1068294"/>
        </a:xfrm>
        <a:prstGeom prst="rect">
          <a:avLst/>
        </a:prstGeom>
      </xdr:spPr>
    </xdr:pic>
    <xdr:clientData/>
  </xdr:twoCellAnchor>
  <xdr:twoCellAnchor editAs="oneCell">
    <xdr:from>
      <xdr:col>17</xdr:col>
      <xdr:colOff>537883</xdr:colOff>
      <xdr:row>70</xdr:row>
      <xdr:rowOff>112058</xdr:rowOff>
    </xdr:from>
    <xdr:to>
      <xdr:col>19</xdr:col>
      <xdr:colOff>395942</xdr:colOff>
      <xdr:row>76</xdr:row>
      <xdr:rowOff>37352</xdr:rowOff>
    </xdr:to>
    <xdr:pic>
      <xdr:nvPicPr>
        <xdr:cNvPr id="81" name="Picture 80" descr="313.jpg">
          <a:hlinkClick xmlns:r="http://schemas.openxmlformats.org/officeDocument/2006/relationships" r:id="rId7" tooltip="Kembali Ke Input Awal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45824" y="13592734"/>
          <a:ext cx="1068294" cy="10682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156883</xdr:colOff>
      <xdr:row>4</xdr:row>
      <xdr:rowOff>100853</xdr:rowOff>
    </xdr:from>
    <xdr:to>
      <xdr:col>3</xdr:col>
      <xdr:colOff>437030</xdr:colOff>
      <xdr:row>4</xdr:row>
      <xdr:rowOff>102441</xdr:rowOff>
    </xdr:to>
    <xdr:cxnSp macro="">
      <xdr:nvCxnSpPr>
        <xdr:cNvPr id="6" name="Straight Connector 5"/>
        <xdr:cNvCxnSpPr/>
      </xdr:nvCxnSpPr>
      <xdr:spPr>
        <a:xfrm>
          <a:off x="4643158" y="3748928"/>
          <a:ext cx="73734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63311</xdr:colOff>
      <xdr:row>2</xdr:row>
      <xdr:rowOff>179294</xdr:rowOff>
    </xdr:from>
    <xdr:to>
      <xdr:col>4</xdr:col>
      <xdr:colOff>70036</xdr:colOff>
      <xdr:row>6</xdr:row>
      <xdr:rowOff>11206</xdr:rowOff>
    </xdr:to>
    <xdr:sp macro="" textlink="">
      <xdr:nvSpPr>
        <xdr:cNvPr id="7" name="Double Bracket 6"/>
        <xdr:cNvSpPr/>
      </xdr:nvSpPr>
      <xdr:spPr>
        <a:xfrm>
          <a:off x="4549586" y="3446369"/>
          <a:ext cx="902075" cy="59391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3</xdr:col>
      <xdr:colOff>171450</xdr:colOff>
      <xdr:row>12</xdr:row>
      <xdr:rowOff>76200</xdr:rowOff>
    </xdr:from>
    <xdr:to>
      <xdr:col>7</xdr:col>
      <xdr:colOff>304800</xdr:colOff>
      <xdr:row>12</xdr:row>
      <xdr:rowOff>77788</xdr:rowOff>
    </xdr:to>
    <xdr:cxnSp macro="">
      <xdr:nvCxnSpPr>
        <xdr:cNvPr id="4" name="Straight Connector 3"/>
        <xdr:cNvCxnSpPr/>
      </xdr:nvCxnSpPr>
      <xdr:spPr>
        <a:xfrm>
          <a:off x="933450" y="51311175"/>
          <a:ext cx="19621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16</xdr:row>
      <xdr:rowOff>76200</xdr:rowOff>
    </xdr:from>
    <xdr:to>
      <xdr:col>7</xdr:col>
      <xdr:colOff>304800</xdr:colOff>
      <xdr:row>16</xdr:row>
      <xdr:rowOff>77788</xdr:rowOff>
    </xdr:to>
    <xdr:cxnSp macro="">
      <xdr:nvCxnSpPr>
        <xdr:cNvPr id="5" name="Straight Connector 4"/>
        <xdr:cNvCxnSpPr/>
      </xdr:nvCxnSpPr>
      <xdr:spPr>
        <a:xfrm>
          <a:off x="933450" y="52073175"/>
          <a:ext cx="19621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171450</xdr:colOff>
      <xdr:row>12</xdr:row>
      <xdr:rowOff>76200</xdr:rowOff>
    </xdr:from>
    <xdr:to>
      <xdr:col>16</xdr:col>
      <xdr:colOff>304800</xdr:colOff>
      <xdr:row>12</xdr:row>
      <xdr:rowOff>77788</xdr:rowOff>
    </xdr:to>
    <xdr:cxnSp macro="">
      <xdr:nvCxnSpPr>
        <xdr:cNvPr id="8" name="Straight Connector 7"/>
        <xdr:cNvCxnSpPr/>
      </xdr:nvCxnSpPr>
      <xdr:spPr>
        <a:xfrm>
          <a:off x="5648325" y="51311175"/>
          <a:ext cx="25812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90768</xdr:colOff>
      <xdr:row>10</xdr:row>
      <xdr:rowOff>120463</xdr:rowOff>
    </xdr:from>
    <xdr:to>
      <xdr:col>12</xdr:col>
      <xdr:colOff>528918</xdr:colOff>
      <xdr:row>11</xdr:row>
      <xdr:rowOff>168088</xdr:rowOff>
    </xdr:to>
    <xdr:grpSp>
      <xdr:nvGrpSpPr>
        <xdr:cNvPr id="9" name="Group 8"/>
        <xdr:cNvGrpSpPr/>
      </xdr:nvGrpSpPr>
      <xdr:grpSpPr>
        <a:xfrm>
          <a:off x="7434543" y="2025463"/>
          <a:ext cx="438150" cy="238125"/>
          <a:chOff x="4695825" y="14192250"/>
          <a:chExt cx="438150" cy="238125"/>
        </a:xfrm>
      </xdr:grpSpPr>
      <xdr:cxnSp macro="">
        <xdr:nvCxnSpPr>
          <xdr:cNvPr id="10" name="Straight Connector 9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171450</xdr:colOff>
      <xdr:row>16</xdr:row>
      <xdr:rowOff>76200</xdr:rowOff>
    </xdr:from>
    <xdr:to>
      <xdr:col>16</xdr:col>
      <xdr:colOff>304800</xdr:colOff>
      <xdr:row>16</xdr:row>
      <xdr:rowOff>77788</xdr:rowOff>
    </xdr:to>
    <xdr:cxnSp macro="">
      <xdr:nvCxnSpPr>
        <xdr:cNvPr id="13" name="Straight Connector 12"/>
        <xdr:cNvCxnSpPr/>
      </xdr:nvCxnSpPr>
      <xdr:spPr>
        <a:xfrm>
          <a:off x="5648325" y="52073175"/>
          <a:ext cx="25812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90768</xdr:colOff>
      <xdr:row>14</xdr:row>
      <xdr:rowOff>120463</xdr:rowOff>
    </xdr:from>
    <xdr:to>
      <xdr:col>12</xdr:col>
      <xdr:colOff>528918</xdr:colOff>
      <xdr:row>15</xdr:row>
      <xdr:rowOff>168088</xdr:rowOff>
    </xdr:to>
    <xdr:grpSp>
      <xdr:nvGrpSpPr>
        <xdr:cNvPr id="14" name="Group 13"/>
        <xdr:cNvGrpSpPr/>
      </xdr:nvGrpSpPr>
      <xdr:grpSpPr>
        <a:xfrm>
          <a:off x="7434543" y="2787463"/>
          <a:ext cx="438150" cy="238125"/>
          <a:chOff x="4695825" y="14192250"/>
          <a:chExt cx="438150" cy="238125"/>
        </a:xfrm>
      </xdr:grpSpPr>
      <xdr:cxnSp macro="">
        <xdr:nvCxnSpPr>
          <xdr:cNvPr id="15" name="Straight Connector 14"/>
          <xdr:cNvCxnSpPr/>
        </xdr:nvCxnSpPr>
        <xdr:spPr>
          <a:xfrm rot="16200000" flipH="1">
            <a:off x="4667250" y="14325600"/>
            <a:ext cx="13335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 rot="5400000" flipH="1" flipV="1">
            <a:off x="4695825" y="14268450"/>
            <a:ext cx="228600" cy="7620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>
            <a:off x="4848225" y="14192250"/>
            <a:ext cx="285750" cy="158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ysClr val="windowText" lastClr="00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utfi.andrian@rocketmail.com" TargetMode="External"/><Relationship Id="rId1" Type="http://schemas.openxmlformats.org/officeDocument/2006/relationships/hyperlink" Target="http://www.kampustekniksipil.co.cc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A63"/>
  <sheetViews>
    <sheetView tabSelected="1" view="pageBreakPreview" topLeftCell="D22" zoomScaleSheetLayoutView="100" zoomScalePageLayoutView="70" workbookViewId="0">
      <selection activeCell="G22" sqref="G22"/>
    </sheetView>
  </sheetViews>
  <sheetFormatPr defaultRowHeight="15" x14ac:dyDescent="0.25"/>
  <cols>
    <col min="1" max="1" width="4.5703125" style="197" customWidth="1"/>
    <col min="2" max="2" width="3.7109375" style="197" customWidth="1"/>
    <col min="3" max="3" width="9.5703125" style="197" customWidth="1"/>
    <col min="4" max="4" width="6.5703125" style="197" customWidth="1"/>
    <col min="5" max="5" width="6.7109375" style="197" customWidth="1"/>
    <col min="6" max="6" width="6.42578125" style="197" customWidth="1"/>
    <col min="7" max="8" width="6.7109375" style="197" customWidth="1"/>
    <col min="9" max="9" width="7.5703125" style="197" bestFit="1" customWidth="1"/>
    <col min="10" max="10" width="7.5703125" style="197" customWidth="1"/>
    <col min="11" max="11" width="6" style="197" customWidth="1"/>
    <col min="12" max="14" width="3.7109375" style="197" customWidth="1"/>
    <col min="15" max="16" width="9.140625" style="197"/>
    <col min="17" max="17" width="10.140625" style="197" bestFit="1" customWidth="1"/>
    <col min="18" max="20" width="9.140625" style="197"/>
    <col min="21" max="21" width="9.140625" style="197" customWidth="1"/>
    <col min="22" max="25" width="9.140625" style="197"/>
    <col min="26" max="26" width="13.140625" style="197" customWidth="1"/>
    <col min="27" max="16384" width="9.140625" style="197"/>
  </cols>
  <sheetData>
    <row r="1" spans="1:20" x14ac:dyDescent="0.25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</row>
    <row r="2" spans="1:20" ht="18" x14ac:dyDescent="0.25">
      <c r="A2" s="198" t="s">
        <v>147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</row>
    <row r="3" spans="1:20" x14ac:dyDescent="0.25">
      <c r="A3" s="196"/>
      <c r="B3" s="196"/>
      <c r="C3" s="196"/>
      <c r="D3" s="196"/>
      <c r="E3" s="77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</row>
    <row r="4" spans="1:20" x14ac:dyDescent="0.25">
      <c r="A4" s="199" t="s">
        <v>268</v>
      </c>
      <c r="B4" s="196"/>
      <c r="C4" s="267" t="s">
        <v>267</v>
      </c>
      <c r="D4" s="267"/>
      <c r="E4" s="267"/>
      <c r="F4" s="267"/>
      <c r="G4" s="267"/>
      <c r="H4" s="267"/>
      <c r="I4" s="267"/>
      <c r="J4" s="267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1:20" ht="15.75" thickBot="1" x14ac:dyDescent="0.3">
      <c r="A5" s="199" t="s">
        <v>269</v>
      </c>
      <c r="B5" s="196"/>
      <c r="C5" s="67" t="s">
        <v>270</v>
      </c>
      <c r="D5" s="67"/>
      <c r="E5" s="67"/>
      <c r="F5" s="67"/>
      <c r="G5" s="67"/>
      <c r="H5" s="67"/>
      <c r="I5" s="67"/>
      <c r="J5" s="67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1:20" x14ac:dyDescent="0.25">
      <c r="A6" s="251"/>
      <c r="B6" s="252"/>
      <c r="C6" s="249" t="s">
        <v>152</v>
      </c>
      <c r="D6" s="249"/>
      <c r="E6" s="249" t="s">
        <v>153</v>
      </c>
      <c r="F6" s="249"/>
      <c r="G6" s="249"/>
      <c r="H6" s="249" t="s">
        <v>154</v>
      </c>
      <c r="I6" s="249"/>
      <c r="J6" s="259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1:20" x14ac:dyDescent="0.25">
      <c r="A7" s="253"/>
      <c r="B7" s="254"/>
      <c r="C7" s="250"/>
      <c r="D7" s="250"/>
      <c r="E7" s="250"/>
      <c r="F7" s="250"/>
      <c r="G7" s="250"/>
      <c r="H7" s="250"/>
      <c r="I7" s="250"/>
      <c r="J7" s="260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1:20" x14ac:dyDescent="0.25">
      <c r="A8" s="246" t="s">
        <v>151</v>
      </c>
      <c r="B8" s="247"/>
      <c r="C8" s="261" t="s">
        <v>155</v>
      </c>
      <c r="D8" s="262"/>
      <c r="E8" s="255" t="s">
        <v>271</v>
      </c>
      <c r="F8" s="255"/>
      <c r="G8" s="255"/>
      <c r="H8" s="255"/>
      <c r="I8" s="255"/>
      <c r="J8" s="257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1:20" ht="15.75" thickBot="1" x14ac:dyDescent="0.3">
      <c r="A9" s="244" t="s">
        <v>118</v>
      </c>
      <c r="B9" s="245"/>
      <c r="C9" s="263">
        <f ca="1">NOW()</f>
        <v>43738.312315972224</v>
      </c>
      <c r="D9" s="264"/>
      <c r="E9" s="256"/>
      <c r="F9" s="256"/>
      <c r="G9" s="256"/>
      <c r="H9" s="256"/>
      <c r="I9" s="256"/>
      <c r="J9" s="258"/>
      <c r="K9" s="196"/>
      <c r="L9" s="196"/>
      <c r="M9" s="196"/>
      <c r="N9" s="196"/>
      <c r="O9" s="196"/>
      <c r="P9" s="196"/>
      <c r="Q9" s="196"/>
      <c r="R9" s="196"/>
      <c r="S9" s="196"/>
      <c r="T9" s="196"/>
    </row>
    <row r="10" spans="1:20" x14ac:dyDescent="0.25">
      <c r="A10" s="200"/>
      <c r="B10" s="200"/>
      <c r="C10" s="201"/>
      <c r="D10" s="201"/>
      <c r="E10" s="201"/>
      <c r="F10" s="201"/>
      <c r="G10" s="201"/>
      <c r="H10" s="201"/>
      <c r="I10" s="201"/>
      <c r="J10" s="201"/>
      <c r="K10" s="196"/>
      <c r="L10" s="196"/>
      <c r="M10" s="196"/>
      <c r="N10" s="196"/>
      <c r="O10" s="196"/>
      <c r="P10" s="196"/>
      <c r="Q10" s="196"/>
      <c r="R10" s="196"/>
      <c r="S10" s="196"/>
      <c r="T10" s="196"/>
    </row>
    <row r="11" spans="1:20" ht="15.75" thickBot="1" x14ac:dyDescent="0.3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1:20" x14ac:dyDescent="0.25">
      <c r="A12" s="73"/>
      <c r="B12" s="74"/>
      <c r="C12" s="74"/>
      <c r="D12" s="74"/>
      <c r="E12" s="74"/>
      <c r="F12" s="74"/>
      <c r="G12" s="74"/>
      <c r="H12" s="74"/>
      <c r="I12" s="74"/>
      <c r="J12" s="75"/>
      <c r="K12" s="196"/>
      <c r="L12" s="196"/>
      <c r="M12" s="196"/>
      <c r="N12" s="196"/>
      <c r="O12" s="196"/>
      <c r="P12" s="196"/>
      <c r="Q12" s="196"/>
      <c r="R12" s="196"/>
      <c r="S12" s="196"/>
      <c r="T12" s="196"/>
    </row>
    <row r="13" spans="1:20" x14ac:dyDescent="0.25">
      <c r="A13" s="202" t="s">
        <v>18</v>
      </c>
      <c r="B13" s="77"/>
      <c r="C13" s="77"/>
      <c r="D13" s="77"/>
      <c r="E13" s="77"/>
      <c r="F13" s="77"/>
      <c r="G13" s="77"/>
      <c r="H13" s="77"/>
      <c r="I13" s="77"/>
      <c r="J13" s="78"/>
      <c r="K13" s="196"/>
      <c r="L13" s="196"/>
      <c r="M13" s="196"/>
      <c r="N13" s="196"/>
      <c r="O13" s="196"/>
      <c r="P13" s="196"/>
      <c r="Q13" s="199" t="s">
        <v>143</v>
      </c>
      <c r="R13" s="196"/>
      <c r="S13" s="196"/>
      <c r="T13" s="196"/>
    </row>
    <row r="14" spans="1:20" x14ac:dyDescent="0.25">
      <c r="A14" s="76"/>
      <c r="B14" s="77"/>
      <c r="C14" s="77"/>
      <c r="D14" s="77"/>
      <c r="E14" s="77"/>
      <c r="F14" s="77"/>
      <c r="G14" s="77"/>
      <c r="H14" s="77"/>
      <c r="I14" s="201"/>
      <c r="J14" s="78"/>
      <c r="K14" s="196"/>
      <c r="L14" s="196"/>
      <c r="M14" s="196"/>
      <c r="N14" s="67"/>
      <c r="O14" s="196"/>
      <c r="P14" s="196"/>
      <c r="Q14" s="199"/>
      <c r="R14" s="196"/>
      <c r="S14" s="196"/>
      <c r="T14" s="196"/>
    </row>
    <row r="15" spans="1:20" x14ac:dyDescent="0.25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196"/>
      <c r="L15" s="196"/>
      <c r="M15" s="196"/>
      <c r="N15" s="196"/>
      <c r="O15" s="196"/>
      <c r="P15" s="196"/>
      <c r="Q15" s="199" t="s">
        <v>95</v>
      </c>
      <c r="R15" s="196"/>
      <c r="S15" s="196"/>
      <c r="T15" s="196"/>
    </row>
    <row r="16" spans="1:20" x14ac:dyDescent="0.25">
      <c r="A16" s="203">
        <v>1</v>
      </c>
      <c r="B16" s="77" t="s">
        <v>1</v>
      </c>
      <c r="C16" s="77"/>
      <c r="D16" s="77"/>
      <c r="E16" s="79" t="s">
        <v>3</v>
      </c>
      <c r="F16" s="201" t="s">
        <v>2</v>
      </c>
      <c r="G16" s="68">
        <v>500</v>
      </c>
      <c r="H16" s="201" t="s">
        <v>28</v>
      </c>
      <c r="I16" s="77"/>
      <c r="J16" s="78"/>
      <c r="K16" s="196"/>
      <c r="L16" s="196"/>
      <c r="M16" s="196"/>
      <c r="N16" s="196"/>
      <c r="O16" s="196"/>
      <c r="P16" s="204" t="s">
        <v>148</v>
      </c>
      <c r="Q16" s="196"/>
      <c r="R16" s="196"/>
      <c r="S16" s="196"/>
      <c r="T16" s="196"/>
    </row>
    <row r="17" spans="1:27" x14ac:dyDescent="0.25">
      <c r="A17" s="203"/>
      <c r="B17" s="77"/>
      <c r="C17" s="77"/>
      <c r="D17" s="77"/>
      <c r="E17" s="79" t="s">
        <v>6</v>
      </c>
      <c r="F17" s="201" t="s">
        <v>2</v>
      </c>
      <c r="G17" s="68">
        <v>500</v>
      </c>
      <c r="H17" s="201" t="s">
        <v>28</v>
      </c>
      <c r="I17" s="77"/>
      <c r="J17" s="78"/>
      <c r="K17" s="196"/>
      <c r="L17" s="196"/>
      <c r="M17" s="196"/>
      <c r="N17" s="196"/>
      <c r="O17" s="196"/>
      <c r="P17" s="196"/>
      <c r="Q17" s="196"/>
      <c r="R17" s="196" t="s">
        <v>149</v>
      </c>
      <c r="S17" s="196"/>
      <c r="T17" s="196"/>
    </row>
    <row r="18" spans="1:27" x14ac:dyDescent="0.25">
      <c r="A18" s="203"/>
      <c r="B18" s="77" t="s">
        <v>87</v>
      </c>
      <c r="C18" s="77"/>
      <c r="D18" s="77"/>
      <c r="E18" s="205" t="s">
        <v>86</v>
      </c>
      <c r="F18" s="201" t="s">
        <v>2</v>
      </c>
      <c r="G18" s="68">
        <v>30</v>
      </c>
      <c r="H18" s="201"/>
      <c r="I18" s="77"/>
      <c r="J18" s="78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1:27" x14ac:dyDescent="0.25">
      <c r="A19" s="203">
        <v>2</v>
      </c>
      <c r="B19" s="79" t="s">
        <v>7</v>
      </c>
      <c r="C19" s="77"/>
      <c r="D19" s="201"/>
      <c r="E19" s="79" t="s">
        <v>4</v>
      </c>
      <c r="F19" s="201" t="s">
        <v>2</v>
      </c>
      <c r="G19" s="69">
        <v>1.5</v>
      </c>
      <c r="H19" s="201" t="s">
        <v>25</v>
      </c>
      <c r="I19" s="77"/>
      <c r="J19" s="78"/>
      <c r="K19" s="196"/>
      <c r="L19" s="199" t="s">
        <v>44</v>
      </c>
      <c r="M19" s="196"/>
      <c r="N19" s="196"/>
      <c r="O19" s="196"/>
      <c r="P19" s="196"/>
      <c r="Q19" s="196"/>
      <c r="R19" s="196"/>
      <c r="S19" s="196"/>
      <c r="T19" s="196"/>
    </row>
    <row r="20" spans="1:27" x14ac:dyDescent="0.25">
      <c r="A20" s="203"/>
      <c r="B20" s="77"/>
      <c r="C20" s="77"/>
      <c r="D20" s="201"/>
      <c r="E20" s="79" t="s">
        <v>5</v>
      </c>
      <c r="F20" s="201" t="s">
        <v>2</v>
      </c>
      <c r="G20" s="66">
        <f>G19</f>
        <v>1.5</v>
      </c>
      <c r="H20" s="201" t="s">
        <v>25</v>
      </c>
      <c r="I20" s="206" t="s">
        <v>150</v>
      </c>
      <c r="J20" s="78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1:27" x14ac:dyDescent="0.25">
      <c r="A21" s="203"/>
      <c r="B21" s="77"/>
      <c r="C21" s="77"/>
      <c r="D21" s="201"/>
      <c r="E21" s="79" t="s">
        <v>12</v>
      </c>
      <c r="F21" s="201" t="s">
        <v>2</v>
      </c>
      <c r="G21" s="69">
        <v>0.5</v>
      </c>
      <c r="H21" s="201" t="s">
        <v>25</v>
      </c>
      <c r="I21" s="77"/>
      <c r="J21" s="78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1:27" x14ac:dyDescent="0.25">
      <c r="A22" s="203">
        <v>3</v>
      </c>
      <c r="B22" s="77" t="s">
        <v>8</v>
      </c>
      <c r="C22" s="77"/>
      <c r="D22" s="201"/>
      <c r="E22" s="79" t="s">
        <v>9</v>
      </c>
      <c r="F22" s="201" t="s">
        <v>2</v>
      </c>
      <c r="G22" s="68">
        <v>20</v>
      </c>
      <c r="H22" s="201" t="s">
        <v>29</v>
      </c>
      <c r="I22" s="77"/>
      <c r="J22" s="78"/>
      <c r="K22" s="196"/>
      <c r="L22" s="199" t="s">
        <v>12</v>
      </c>
      <c r="M22" s="196"/>
      <c r="N22" s="196"/>
      <c r="O22" s="196"/>
      <c r="P22" s="196"/>
      <c r="Q22" s="196"/>
      <c r="R22" s="196"/>
      <c r="S22" s="196"/>
      <c r="T22" s="196"/>
    </row>
    <row r="23" spans="1:27" x14ac:dyDescent="0.25">
      <c r="A23" s="203">
        <v>4</v>
      </c>
      <c r="B23" s="77" t="s">
        <v>10</v>
      </c>
      <c r="C23" s="77"/>
      <c r="D23" s="77"/>
      <c r="E23" s="79" t="s">
        <v>11</v>
      </c>
      <c r="F23" s="201" t="s">
        <v>2</v>
      </c>
      <c r="G23" s="68">
        <v>320</v>
      </c>
      <c r="H23" s="201" t="s">
        <v>29</v>
      </c>
      <c r="I23" s="77"/>
      <c r="J23" s="78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1:27" x14ac:dyDescent="0.25">
      <c r="A24" s="203">
        <v>5</v>
      </c>
      <c r="B24" s="77" t="s">
        <v>15</v>
      </c>
      <c r="C24" s="77"/>
      <c r="D24" s="77"/>
      <c r="E24" s="79" t="s">
        <v>17</v>
      </c>
      <c r="F24" s="201" t="s">
        <v>2</v>
      </c>
      <c r="G24" s="68">
        <v>16</v>
      </c>
      <c r="H24" s="201"/>
      <c r="I24" s="77"/>
      <c r="J24" s="78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W24" s="243" t="s">
        <v>277</v>
      </c>
    </row>
    <row r="25" spans="1:27" x14ac:dyDescent="0.25">
      <c r="A25" s="203"/>
      <c r="B25" s="77" t="s">
        <v>16</v>
      </c>
      <c r="C25" s="77"/>
      <c r="D25" s="77"/>
      <c r="E25" s="79"/>
      <c r="F25" s="201"/>
      <c r="G25" s="207"/>
      <c r="H25" s="201"/>
      <c r="I25" s="77"/>
      <c r="J25" s="78"/>
      <c r="K25" s="196"/>
      <c r="L25" s="196"/>
      <c r="M25" s="196"/>
      <c r="N25" s="196"/>
      <c r="O25" s="196"/>
      <c r="P25" s="204" t="s">
        <v>5</v>
      </c>
      <c r="Q25" s="196"/>
      <c r="R25" s="196"/>
      <c r="S25" s="196"/>
      <c r="T25" s="196"/>
    </row>
    <row r="26" spans="1:27" x14ac:dyDescent="0.25">
      <c r="A26" s="203">
        <v>6</v>
      </c>
      <c r="B26" s="77" t="s">
        <v>43</v>
      </c>
      <c r="C26" s="77"/>
      <c r="D26" s="77"/>
      <c r="E26" s="208" t="s">
        <v>41</v>
      </c>
      <c r="F26" s="201" t="s">
        <v>2</v>
      </c>
      <c r="G26" s="68">
        <v>24</v>
      </c>
      <c r="H26" s="201" t="s">
        <v>33</v>
      </c>
      <c r="I26" s="77"/>
      <c r="J26" s="78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W26" s="233">
        <v>1</v>
      </c>
      <c r="X26" s="234" t="s">
        <v>29</v>
      </c>
      <c r="Y26" s="234" t="s">
        <v>2</v>
      </c>
      <c r="Z26" s="234">
        <v>1000</v>
      </c>
      <c r="AA26" s="235" t="s">
        <v>30</v>
      </c>
    </row>
    <row r="27" spans="1:27" x14ac:dyDescent="0.25">
      <c r="A27" s="76"/>
      <c r="B27" s="77"/>
      <c r="C27" s="77"/>
      <c r="D27" s="77"/>
      <c r="E27" s="77"/>
      <c r="F27" s="77"/>
      <c r="G27" s="207"/>
      <c r="H27" s="201"/>
      <c r="I27" s="77"/>
      <c r="J27" s="78"/>
      <c r="K27" s="196"/>
      <c r="L27" s="196"/>
      <c r="M27" s="196"/>
      <c r="N27" s="196"/>
      <c r="O27" s="196"/>
      <c r="P27" s="204" t="s">
        <v>5</v>
      </c>
      <c r="Q27" s="196"/>
      <c r="R27" s="196"/>
      <c r="S27" s="196"/>
      <c r="T27" s="196"/>
      <c r="W27" s="236"/>
      <c r="X27" s="77"/>
      <c r="Y27" s="201" t="s">
        <v>2</v>
      </c>
      <c r="Z27" s="232">
        <v>101.9716213</v>
      </c>
      <c r="AA27" s="237" t="s">
        <v>273</v>
      </c>
    </row>
    <row r="28" spans="1:27" x14ac:dyDescent="0.25">
      <c r="A28" s="202" t="s">
        <v>19</v>
      </c>
      <c r="B28" s="77"/>
      <c r="C28" s="77"/>
      <c r="D28" s="77"/>
      <c r="E28" s="77"/>
      <c r="F28" s="77"/>
      <c r="G28" s="207"/>
      <c r="H28" s="201"/>
      <c r="I28" s="77"/>
      <c r="J28" s="78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W28" s="236"/>
      <c r="X28" s="77"/>
      <c r="Y28" s="201" t="s">
        <v>2</v>
      </c>
      <c r="Z28" s="232">
        <f>Z27/10000</f>
        <v>1.019716213E-2</v>
      </c>
      <c r="AA28" s="237" t="s">
        <v>274</v>
      </c>
    </row>
    <row r="29" spans="1:27" x14ac:dyDescent="0.25">
      <c r="A29" s="76"/>
      <c r="B29" s="77"/>
      <c r="C29" s="77"/>
      <c r="D29" s="77"/>
      <c r="E29" s="77"/>
      <c r="F29" s="77"/>
      <c r="G29" s="207"/>
      <c r="H29" s="201"/>
      <c r="I29" s="77"/>
      <c r="J29" s="78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W29" s="236"/>
      <c r="X29" s="77"/>
      <c r="Y29" s="201" t="s">
        <v>2</v>
      </c>
      <c r="Z29" s="201">
        <v>101971.621</v>
      </c>
      <c r="AA29" s="237" t="s">
        <v>275</v>
      </c>
    </row>
    <row r="30" spans="1:27" x14ac:dyDescent="0.25">
      <c r="A30" s="203">
        <v>6</v>
      </c>
      <c r="B30" s="77" t="s">
        <v>13</v>
      </c>
      <c r="C30" s="77"/>
      <c r="D30" s="201"/>
      <c r="E30" s="208" t="s">
        <v>14</v>
      </c>
      <c r="F30" s="201" t="s">
        <v>2</v>
      </c>
      <c r="G30" s="68">
        <v>105</v>
      </c>
      <c r="H30" s="201" t="s">
        <v>30</v>
      </c>
      <c r="I30" s="77"/>
      <c r="J30" s="78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W30" s="238"/>
      <c r="X30" s="239"/>
      <c r="Y30" s="240" t="s">
        <v>2</v>
      </c>
      <c r="Z30" s="241">
        <f>Z29/10000</f>
        <v>10.1971621</v>
      </c>
      <c r="AA30" s="242" t="s">
        <v>276</v>
      </c>
    </row>
    <row r="31" spans="1:27" x14ac:dyDescent="0.25">
      <c r="A31" s="203">
        <v>7</v>
      </c>
      <c r="B31" s="77" t="s">
        <v>31</v>
      </c>
      <c r="C31" s="77"/>
      <c r="D31" s="201"/>
      <c r="E31" s="208" t="s">
        <v>32</v>
      </c>
      <c r="F31" s="201" t="s">
        <v>2</v>
      </c>
      <c r="G31" s="69">
        <v>17.2</v>
      </c>
      <c r="H31" s="201" t="s">
        <v>33</v>
      </c>
      <c r="I31" s="77"/>
      <c r="J31" s="78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Y31" s="231"/>
      <c r="Z31" s="231"/>
      <c r="AA31" s="231"/>
    </row>
    <row r="32" spans="1:27" x14ac:dyDescent="0.25">
      <c r="A32" s="203">
        <v>8</v>
      </c>
      <c r="B32" s="77" t="s">
        <v>26</v>
      </c>
      <c r="C32" s="77"/>
      <c r="D32" s="201"/>
      <c r="E32" s="208" t="s">
        <v>44</v>
      </c>
      <c r="F32" s="201" t="s">
        <v>2</v>
      </c>
      <c r="G32" s="69">
        <v>1.2</v>
      </c>
      <c r="H32" s="201" t="s">
        <v>25</v>
      </c>
      <c r="I32" s="77"/>
      <c r="J32" s="78"/>
      <c r="K32" s="196"/>
      <c r="L32" s="196"/>
      <c r="M32" s="196"/>
      <c r="N32" s="196"/>
      <c r="O32" s="196"/>
      <c r="P32" s="196"/>
      <c r="Q32" s="196"/>
      <c r="R32" s="196"/>
      <c r="S32" s="196"/>
      <c r="T32" s="196"/>
    </row>
    <row r="33" spans="1:25" x14ac:dyDescent="0.25">
      <c r="A33" s="76"/>
      <c r="B33" s="77" t="s">
        <v>27</v>
      </c>
      <c r="C33" s="77"/>
      <c r="D33" s="77"/>
      <c r="E33" s="77"/>
      <c r="F33" s="77"/>
      <c r="G33" s="207"/>
      <c r="H33" s="201"/>
      <c r="I33" s="77"/>
      <c r="J33" s="78"/>
      <c r="K33" s="196"/>
      <c r="L33" s="248" t="s">
        <v>6</v>
      </c>
      <c r="M33" s="196"/>
      <c r="N33" s="196"/>
      <c r="O33" s="196"/>
      <c r="P33" s="196"/>
      <c r="Q33" s="196"/>
      <c r="R33" s="196"/>
      <c r="S33" s="196"/>
      <c r="T33" s="196"/>
    </row>
    <row r="34" spans="1:25" x14ac:dyDescent="0.25">
      <c r="A34" s="76"/>
      <c r="B34" s="77"/>
      <c r="C34" s="77"/>
      <c r="D34" s="77"/>
      <c r="E34" s="77"/>
      <c r="F34" s="77"/>
      <c r="G34" s="207"/>
      <c r="H34" s="201"/>
      <c r="I34" s="77"/>
      <c r="J34" s="78"/>
      <c r="K34" s="196"/>
      <c r="L34" s="248"/>
      <c r="M34" s="196"/>
      <c r="N34" s="196"/>
      <c r="O34" s="196"/>
      <c r="P34" s="196"/>
      <c r="Q34" s="196"/>
      <c r="R34" s="196"/>
      <c r="S34" s="209" t="s">
        <v>4</v>
      </c>
      <c r="T34" s="196"/>
    </row>
    <row r="35" spans="1:25" x14ac:dyDescent="0.25">
      <c r="A35" s="202" t="s">
        <v>20</v>
      </c>
      <c r="B35" s="77"/>
      <c r="C35" s="77"/>
      <c r="D35" s="77"/>
      <c r="E35" s="77"/>
      <c r="F35" s="77"/>
      <c r="G35" s="207"/>
      <c r="H35" s="201"/>
      <c r="I35" s="77"/>
      <c r="J35" s="78"/>
      <c r="K35" s="196"/>
      <c r="L35" s="196"/>
      <c r="M35" s="196"/>
      <c r="N35" s="196"/>
      <c r="O35" s="196"/>
      <c r="P35" s="196"/>
      <c r="Q35" s="196"/>
      <c r="R35" s="196"/>
      <c r="S35" s="196"/>
      <c r="T35" s="196"/>
    </row>
    <row r="36" spans="1:25" x14ac:dyDescent="0.25">
      <c r="A36" s="76"/>
      <c r="B36" s="77"/>
      <c r="C36" s="77"/>
      <c r="D36" s="77"/>
      <c r="E36" s="77"/>
      <c r="F36" s="77"/>
      <c r="G36" s="207"/>
      <c r="H36" s="201"/>
      <c r="I36" s="77"/>
      <c r="J36" s="78"/>
      <c r="K36" s="196"/>
      <c r="L36" s="196"/>
      <c r="M36" s="196"/>
      <c r="N36" s="196"/>
      <c r="O36" s="196"/>
      <c r="P36" s="196"/>
      <c r="Q36" s="196"/>
      <c r="R36" s="196"/>
      <c r="S36" s="206" t="s">
        <v>150</v>
      </c>
      <c r="T36" s="196"/>
    </row>
    <row r="37" spans="1:25" x14ac:dyDescent="0.25">
      <c r="A37" s="203">
        <v>9</v>
      </c>
      <c r="B37" s="77" t="s">
        <v>21</v>
      </c>
      <c r="C37" s="77"/>
      <c r="D37" s="201"/>
      <c r="E37" s="208" t="s">
        <v>22</v>
      </c>
      <c r="F37" s="201" t="s">
        <v>2</v>
      </c>
      <c r="G37" s="68">
        <v>640</v>
      </c>
      <c r="H37" s="201" t="s">
        <v>34</v>
      </c>
      <c r="I37" s="77"/>
      <c r="J37" s="78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X37" s="210"/>
    </row>
    <row r="38" spans="1:25" x14ac:dyDescent="0.25">
      <c r="A38" s="203">
        <v>10</v>
      </c>
      <c r="B38" s="77" t="s">
        <v>23</v>
      </c>
      <c r="C38" s="77"/>
      <c r="D38" s="201"/>
      <c r="E38" s="208" t="s">
        <v>24</v>
      </c>
      <c r="F38" s="201" t="s">
        <v>2</v>
      </c>
      <c r="G38" s="68">
        <v>18.25</v>
      </c>
      <c r="H38" s="201" t="s">
        <v>35</v>
      </c>
      <c r="I38" s="77"/>
      <c r="J38" s="78"/>
      <c r="K38" s="196"/>
      <c r="L38" s="196"/>
      <c r="M38" s="196"/>
      <c r="N38" s="196"/>
      <c r="O38" s="196"/>
      <c r="P38" s="196"/>
      <c r="Q38" s="196"/>
      <c r="R38" s="196"/>
      <c r="S38" s="196"/>
      <c r="T38" s="196"/>
    </row>
    <row r="39" spans="1:25" x14ac:dyDescent="0.25">
      <c r="A39" s="76"/>
      <c r="B39" s="77"/>
      <c r="C39" s="77"/>
      <c r="D39" s="77"/>
      <c r="E39" s="77"/>
      <c r="F39" s="77"/>
      <c r="G39" s="77"/>
      <c r="H39" s="77"/>
      <c r="I39" s="77"/>
      <c r="J39" s="78"/>
      <c r="K39" s="196"/>
      <c r="L39" s="196"/>
      <c r="M39" s="196"/>
      <c r="N39" s="196"/>
      <c r="O39" s="196"/>
      <c r="P39" s="196"/>
      <c r="Q39" s="196"/>
      <c r="R39" s="196"/>
      <c r="S39" s="196"/>
      <c r="T39" s="196"/>
    </row>
    <row r="40" spans="1:25" ht="15.75" thickBot="1" x14ac:dyDescent="0.3">
      <c r="A40" s="80"/>
      <c r="B40" s="81"/>
      <c r="C40" s="81"/>
      <c r="D40" s="81"/>
      <c r="E40" s="81"/>
      <c r="F40" s="81"/>
      <c r="G40" s="81"/>
      <c r="H40" s="81"/>
      <c r="I40" s="81"/>
      <c r="J40" s="82"/>
      <c r="K40" s="196"/>
      <c r="L40" s="196"/>
      <c r="M40" s="196"/>
      <c r="N40" s="196"/>
      <c r="O40" s="196"/>
      <c r="P40" s="196"/>
      <c r="Q40" s="196"/>
      <c r="R40" s="196"/>
      <c r="S40" s="196"/>
      <c r="T40" s="196"/>
    </row>
    <row r="41" spans="1:25" ht="15.75" thickBot="1" x14ac:dyDescent="0.3">
      <c r="A41" s="196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211" t="s">
        <v>3</v>
      </c>
      <c r="Q41" s="196"/>
      <c r="R41" s="196"/>
      <c r="S41" s="196"/>
      <c r="T41" s="196"/>
    </row>
    <row r="42" spans="1:25" x14ac:dyDescent="0.25">
      <c r="A42" s="83"/>
      <c r="B42" s="84"/>
      <c r="C42" s="84"/>
      <c r="D42" s="84"/>
      <c r="E42" s="84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6"/>
    </row>
    <row r="43" spans="1:25" x14ac:dyDescent="0.25">
      <c r="A43" s="87"/>
      <c r="B43" s="88"/>
      <c r="C43" s="88"/>
      <c r="D43" s="88"/>
      <c r="E43" s="88"/>
      <c r="F43" s="89"/>
      <c r="G43" s="90" t="s">
        <v>169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91"/>
    </row>
    <row r="44" spans="1:25" x14ac:dyDescent="0.25">
      <c r="A44" s="87"/>
      <c r="B44" s="88"/>
      <c r="C44" s="88"/>
      <c r="D44" s="88"/>
      <c r="E44" s="88"/>
      <c r="F44" s="89"/>
      <c r="G44" s="266" t="s">
        <v>173</v>
      </c>
      <c r="H44" s="266"/>
      <c r="I44" s="266"/>
      <c r="J44" s="92"/>
      <c r="K44" s="93"/>
      <c r="L44" s="93"/>
      <c r="M44" s="93"/>
      <c r="N44" s="89"/>
      <c r="O44" s="89"/>
      <c r="P44" s="89"/>
      <c r="Q44" s="89"/>
      <c r="R44" s="89"/>
      <c r="S44" s="89"/>
      <c r="T44" s="91"/>
    </row>
    <row r="45" spans="1:25" x14ac:dyDescent="0.25">
      <c r="A45" s="87"/>
      <c r="B45" s="88"/>
      <c r="C45" s="88"/>
      <c r="D45" s="88"/>
      <c r="E45" s="94"/>
      <c r="F45" s="89"/>
      <c r="G45" s="89"/>
      <c r="H45" s="89"/>
      <c r="I45" s="89"/>
      <c r="J45" s="89"/>
      <c r="K45" s="89"/>
      <c r="L45" s="89"/>
      <c r="M45" s="89"/>
      <c r="N45" s="89"/>
      <c r="O45" s="95"/>
      <c r="P45" s="89"/>
      <c r="Q45" s="95"/>
      <c r="R45" s="89"/>
      <c r="S45" s="89"/>
      <c r="T45" s="91"/>
      <c r="Y45" s="210"/>
    </row>
    <row r="46" spans="1:25" x14ac:dyDescent="0.25">
      <c r="A46" s="87"/>
      <c r="B46" s="88"/>
      <c r="C46" s="88"/>
      <c r="D46" s="88"/>
      <c r="E46" s="88"/>
      <c r="F46" s="96"/>
      <c r="G46" s="265" t="s">
        <v>48</v>
      </c>
      <c r="H46" s="265"/>
      <c r="I46" s="265"/>
      <c r="J46" s="265"/>
      <c r="K46" s="265"/>
      <c r="L46" s="97" t="s">
        <v>49</v>
      </c>
      <c r="M46" s="89"/>
      <c r="N46" s="98" t="s">
        <v>2</v>
      </c>
      <c r="O46" s="70">
        <f>'kontrol program'!H27</f>
        <v>349.5288888888889</v>
      </c>
      <c r="P46" s="98" t="str">
        <f>IF(O46&lt;Q46,"&lt;","&gt;")</f>
        <v>&gt;</v>
      </c>
      <c r="Q46" s="70">
        <f>G30</f>
        <v>105</v>
      </c>
      <c r="R46" s="89"/>
      <c r="S46" s="72" t="str">
        <f>IF(O46&lt;Q46,"OK!","Tidak OK!")</f>
        <v>Tidak OK!</v>
      </c>
      <c r="T46" s="91"/>
    </row>
    <row r="47" spans="1:25" x14ac:dyDescent="0.25">
      <c r="A47" s="87"/>
      <c r="B47" s="88"/>
      <c r="C47" s="88"/>
      <c r="D47" s="88"/>
      <c r="E47" s="94"/>
      <c r="F47" s="89"/>
      <c r="G47" s="89"/>
      <c r="H47" s="89"/>
      <c r="I47" s="89"/>
      <c r="J47" s="89"/>
      <c r="K47" s="96"/>
      <c r="L47" s="97" t="s">
        <v>53</v>
      </c>
      <c r="M47" s="89"/>
      <c r="N47" s="98" t="s">
        <v>2</v>
      </c>
      <c r="O47" s="70">
        <f>'kontrol program'!H28</f>
        <v>284.64</v>
      </c>
      <c r="P47" s="98" t="str">
        <f>IF(O47&lt;Q47,"&lt;","&gt;")</f>
        <v>&gt;</v>
      </c>
      <c r="Q47" s="70">
        <f>G30</f>
        <v>105</v>
      </c>
      <c r="R47" s="89"/>
      <c r="S47" s="72" t="str">
        <f>IF(O47&lt;Q47,"OK!","Tidak OK!")</f>
        <v>Tidak OK!</v>
      </c>
      <c r="T47" s="91"/>
    </row>
    <row r="48" spans="1:25" x14ac:dyDescent="0.25">
      <c r="A48" s="87"/>
      <c r="B48" s="88"/>
      <c r="C48" s="88"/>
      <c r="D48" s="88"/>
      <c r="E48" s="94"/>
      <c r="F48" s="89"/>
      <c r="G48" s="89"/>
      <c r="H48" s="89"/>
      <c r="I48" s="89"/>
      <c r="J48" s="89"/>
      <c r="K48" s="96"/>
      <c r="L48" s="89"/>
      <c r="M48" s="89"/>
      <c r="N48" s="98"/>
      <c r="O48" s="95"/>
      <c r="P48" s="89"/>
      <c r="Q48" s="99"/>
      <c r="R48" s="100"/>
      <c r="S48" s="89"/>
      <c r="T48" s="91"/>
    </row>
    <row r="49" spans="1:20" x14ac:dyDescent="0.25">
      <c r="A49" s="87"/>
      <c r="B49" s="88"/>
      <c r="C49" s="88"/>
      <c r="D49" s="88"/>
      <c r="E49" s="94"/>
      <c r="F49" s="89"/>
      <c r="G49" s="265" t="s">
        <v>168</v>
      </c>
      <c r="H49" s="265"/>
      <c r="I49" s="265"/>
      <c r="J49" s="265"/>
      <c r="K49" s="93"/>
      <c r="L49" s="96" t="s">
        <v>68</v>
      </c>
      <c r="M49" s="89"/>
      <c r="N49" s="98" t="s">
        <v>2</v>
      </c>
      <c r="O49" s="71">
        <f>'kontrol program'!H32</f>
        <v>349.66512998152962</v>
      </c>
      <c r="P49" s="89"/>
      <c r="Q49" s="101"/>
      <c r="R49" s="100"/>
      <c r="S49" s="89"/>
      <c r="T49" s="91"/>
    </row>
    <row r="50" spans="1:20" x14ac:dyDescent="0.25">
      <c r="A50" s="87"/>
      <c r="B50" s="88"/>
      <c r="C50" s="88"/>
      <c r="D50" s="88"/>
      <c r="E50" s="94"/>
      <c r="F50" s="89"/>
      <c r="G50" s="96"/>
      <c r="H50" s="96"/>
      <c r="I50" s="96"/>
      <c r="J50" s="96"/>
      <c r="K50" s="96"/>
      <c r="L50" s="97" t="s">
        <v>75</v>
      </c>
      <c r="M50" s="89"/>
      <c r="N50" s="98" t="s">
        <v>2</v>
      </c>
      <c r="O50" s="71">
        <f>'kontrol program'!H31</f>
        <v>43.292836888888885</v>
      </c>
      <c r="P50" s="98" t="str">
        <f>IF(O50&lt;O49,"&lt;","&gt;")</f>
        <v>&lt;</v>
      </c>
      <c r="Q50" s="71">
        <f>O49</f>
        <v>349.66512998152962</v>
      </c>
      <c r="R50" s="89"/>
      <c r="S50" s="72" t="str">
        <f>IF(O50&lt;Q50,"OK!","Tidak OK!")</f>
        <v>OK!</v>
      </c>
      <c r="T50" s="91"/>
    </row>
    <row r="51" spans="1:20" x14ac:dyDescent="0.25">
      <c r="A51" s="87"/>
      <c r="B51" s="88"/>
      <c r="C51" s="88"/>
      <c r="D51" s="88"/>
      <c r="E51" s="88"/>
      <c r="F51" s="89"/>
      <c r="G51" s="89"/>
      <c r="H51" s="89"/>
      <c r="I51" s="89"/>
      <c r="J51" s="96"/>
      <c r="K51" s="96"/>
      <c r="L51" s="89"/>
      <c r="M51" s="89"/>
      <c r="N51" s="98"/>
      <c r="O51" s="95"/>
      <c r="P51" s="89"/>
      <c r="Q51" s="99"/>
      <c r="R51" s="100"/>
      <c r="S51" s="89"/>
      <c r="T51" s="91"/>
    </row>
    <row r="52" spans="1:20" x14ac:dyDescent="0.25">
      <c r="A52" s="87"/>
      <c r="B52" s="88"/>
      <c r="C52" s="88"/>
      <c r="D52" s="88"/>
      <c r="E52" s="88"/>
      <c r="F52" s="89"/>
      <c r="G52" s="265" t="s">
        <v>170</v>
      </c>
      <c r="H52" s="265"/>
      <c r="I52" s="265"/>
      <c r="J52" s="265"/>
      <c r="K52" s="93"/>
      <c r="L52" s="96" t="s">
        <v>68</v>
      </c>
      <c r="M52" s="89"/>
      <c r="N52" s="98" t="s">
        <v>2</v>
      </c>
      <c r="O52" s="71">
        <f>'kontrol program'!H35</f>
        <v>1710.0955956963342</v>
      </c>
      <c r="P52" s="89"/>
      <c r="Q52" s="101"/>
      <c r="R52" s="100"/>
      <c r="S52" s="89"/>
      <c r="T52" s="91"/>
    </row>
    <row r="53" spans="1:20" x14ac:dyDescent="0.25">
      <c r="A53" s="87"/>
      <c r="B53" s="88"/>
      <c r="C53" s="88"/>
      <c r="D53" s="88"/>
      <c r="E53" s="88"/>
      <c r="F53" s="89"/>
      <c r="G53" s="89"/>
      <c r="H53" s="89"/>
      <c r="I53" s="89"/>
      <c r="J53" s="89"/>
      <c r="K53" s="89"/>
      <c r="L53" s="89" t="s">
        <v>75</v>
      </c>
      <c r="M53" s="89"/>
      <c r="N53" s="98" t="s">
        <v>2</v>
      </c>
      <c r="O53" s="71">
        <f>'kontrol program'!H34</f>
        <v>446.80717859555551</v>
      </c>
      <c r="P53" s="98" t="str">
        <f>IF(O53&lt;O52,"&lt;","&gt;")</f>
        <v>&lt;</v>
      </c>
      <c r="Q53" s="71">
        <f>O52</f>
        <v>1710.0955956963342</v>
      </c>
      <c r="R53" s="89"/>
      <c r="S53" s="72" t="str">
        <f>IF(O53&lt;Q53,"OK!","Tidak OK!")</f>
        <v>OK!</v>
      </c>
      <c r="T53" s="91"/>
    </row>
    <row r="54" spans="1:20" x14ac:dyDescent="0.25">
      <c r="A54" s="87"/>
      <c r="B54" s="88"/>
      <c r="C54" s="88"/>
      <c r="D54" s="88"/>
      <c r="E54" s="88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91"/>
    </row>
    <row r="55" spans="1:20" x14ac:dyDescent="0.25">
      <c r="A55" s="87"/>
      <c r="B55" s="88"/>
      <c r="C55" s="88"/>
      <c r="D55" s="88"/>
      <c r="E55" s="88"/>
      <c r="F55" s="89"/>
      <c r="G55" s="89" t="s">
        <v>171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91"/>
    </row>
    <row r="56" spans="1:20" x14ac:dyDescent="0.25">
      <c r="A56" s="87"/>
      <c r="B56" s="88"/>
      <c r="C56" s="88"/>
      <c r="D56" s="88"/>
      <c r="E56" s="88"/>
      <c r="F56" s="89"/>
      <c r="G56" s="89" t="s">
        <v>172</v>
      </c>
      <c r="H56" s="89"/>
      <c r="I56" s="89"/>
      <c r="J56" s="89"/>
      <c r="K56" s="102"/>
      <c r="L56" s="173" t="s">
        <v>17</v>
      </c>
      <c r="M56" s="174">
        <f>'Desain Penulangan Pondasi'!G29</f>
        <v>16</v>
      </c>
      <c r="N56" s="175" t="s">
        <v>54</v>
      </c>
      <c r="O56" s="176">
        <f>'Desain Penulangan Pondasi'!I29</f>
        <v>114</v>
      </c>
      <c r="P56" s="89"/>
      <c r="Q56" s="89"/>
      <c r="R56" s="89"/>
      <c r="S56" s="89"/>
      <c r="T56" s="91"/>
    </row>
    <row r="57" spans="1:20" ht="15.75" thickBot="1" x14ac:dyDescent="0.3">
      <c r="A57" s="87"/>
      <c r="B57" s="88"/>
      <c r="C57" s="88"/>
      <c r="D57" s="88"/>
      <c r="E57" s="88"/>
      <c r="F57" s="89"/>
      <c r="G57" s="89"/>
      <c r="H57" s="89"/>
      <c r="I57" s="89"/>
      <c r="J57" s="89"/>
      <c r="K57" s="89"/>
      <c r="L57" s="89"/>
      <c r="M57" s="89"/>
      <c r="N57" s="98"/>
      <c r="O57" s="103"/>
      <c r="P57" s="89"/>
      <c r="Q57" s="89"/>
      <c r="R57" s="89"/>
      <c r="S57" s="89"/>
      <c r="T57" s="91"/>
    </row>
    <row r="58" spans="1:20" x14ac:dyDescent="0.25">
      <c r="A58" s="87"/>
      <c r="B58" s="88"/>
      <c r="C58" s="88"/>
      <c r="D58" s="88"/>
      <c r="E58" s="88"/>
      <c r="F58" s="89"/>
      <c r="G58" s="89"/>
      <c r="H58" s="89"/>
      <c r="I58" s="89"/>
      <c r="J58" s="89"/>
      <c r="K58" s="89"/>
      <c r="L58" s="73"/>
      <c r="M58" s="74"/>
      <c r="N58" s="74"/>
      <c r="O58" s="74"/>
      <c r="P58" s="74"/>
      <c r="Q58" s="74"/>
      <c r="R58" s="74"/>
      <c r="S58" s="74"/>
      <c r="T58" s="75"/>
    </row>
    <row r="59" spans="1:20" x14ac:dyDescent="0.25">
      <c r="A59" s="87"/>
      <c r="B59" s="88"/>
      <c r="C59" s="88"/>
      <c r="D59" s="88"/>
      <c r="E59" s="88"/>
      <c r="F59" s="89"/>
      <c r="G59" s="89"/>
      <c r="H59" s="89"/>
      <c r="I59" s="89"/>
      <c r="J59" s="89"/>
      <c r="K59" s="89"/>
      <c r="L59" s="76"/>
      <c r="M59" s="77"/>
      <c r="N59" s="77"/>
      <c r="O59" s="77"/>
      <c r="P59" s="77" t="s">
        <v>177</v>
      </c>
      <c r="Q59" s="77" t="s">
        <v>178</v>
      </c>
      <c r="R59" s="77"/>
      <c r="S59" s="77"/>
      <c r="T59" s="78"/>
    </row>
    <row r="60" spans="1:20" x14ac:dyDescent="0.25">
      <c r="A60" s="87"/>
      <c r="B60" s="88"/>
      <c r="C60" s="88"/>
      <c r="D60" s="88"/>
      <c r="E60" s="88"/>
      <c r="F60" s="89"/>
      <c r="G60" s="89"/>
      <c r="H60" s="89"/>
      <c r="I60" s="89"/>
      <c r="J60" s="89"/>
      <c r="K60" s="89"/>
      <c r="L60" s="76"/>
      <c r="M60" s="77"/>
      <c r="N60" s="77"/>
      <c r="O60" s="77"/>
      <c r="P60" s="77" t="s">
        <v>175</v>
      </c>
      <c r="Q60" s="64" t="s">
        <v>174</v>
      </c>
      <c r="R60" s="77"/>
      <c r="S60" s="77"/>
      <c r="T60" s="78"/>
    </row>
    <row r="61" spans="1:20" x14ac:dyDescent="0.25">
      <c r="A61" s="87"/>
      <c r="B61" s="88"/>
      <c r="C61" s="88"/>
      <c r="D61" s="88"/>
      <c r="E61" s="88"/>
      <c r="F61" s="89"/>
      <c r="G61" s="89"/>
      <c r="H61" s="89"/>
      <c r="I61" s="89"/>
      <c r="J61" s="89"/>
      <c r="K61" s="89"/>
      <c r="L61" s="76"/>
      <c r="M61" s="77"/>
      <c r="N61" s="77"/>
      <c r="O61" s="77"/>
      <c r="P61" s="77" t="s">
        <v>176</v>
      </c>
      <c r="Q61" s="64" t="s">
        <v>272</v>
      </c>
      <c r="R61" s="77"/>
      <c r="S61" s="230"/>
      <c r="T61" s="78"/>
    </row>
    <row r="62" spans="1:20" x14ac:dyDescent="0.25">
      <c r="A62" s="87"/>
      <c r="B62" s="88"/>
      <c r="C62" s="88"/>
      <c r="D62" s="88"/>
      <c r="E62" s="88"/>
      <c r="F62" s="89"/>
      <c r="G62" s="89"/>
      <c r="H62" s="89"/>
      <c r="I62" s="89"/>
      <c r="J62" s="89"/>
      <c r="K62" s="89"/>
      <c r="L62" s="76"/>
      <c r="M62" s="77"/>
      <c r="N62" s="77"/>
      <c r="O62" s="77"/>
      <c r="P62" s="77" t="s">
        <v>179</v>
      </c>
      <c r="Q62" s="79">
        <v>2011</v>
      </c>
      <c r="R62" s="77"/>
      <c r="S62" s="77"/>
      <c r="T62" s="78"/>
    </row>
    <row r="63" spans="1:20" ht="15.75" thickBot="1" x14ac:dyDescent="0.3">
      <c r="A63" s="104"/>
      <c r="B63" s="105"/>
      <c r="C63" s="105"/>
      <c r="D63" s="105"/>
      <c r="E63" s="105"/>
      <c r="F63" s="106"/>
      <c r="G63" s="106"/>
      <c r="H63" s="106"/>
      <c r="I63" s="106"/>
      <c r="J63" s="106"/>
      <c r="K63" s="106"/>
      <c r="L63" s="80"/>
      <c r="M63" s="81"/>
      <c r="N63" s="81"/>
      <c r="O63" s="81"/>
      <c r="P63" s="81"/>
      <c r="Q63" s="81"/>
      <c r="R63" s="81"/>
      <c r="S63" s="81"/>
      <c r="T63" s="82"/>
    </row>
  </sheetData>
  <sheetProtection password="C7E9" sheet="1" objects="1" scenarios="1"/>
  <mergeCells count="18">
    <mergeCell ref="G46:K46"/>
    <mergeCell ref="G49:J49"/>
    <mergeCell ref="G52:J52"/>
    <mergeCell ref="G44:I44"/>
    <mergeCell ref="C4:J4"/>
    <mergeCell ref="A9:B9"/>
    <mergeCell ref="A8:B8"/>
    <mergeCell ref="L33:L34"/>
    <mergeCell ref="C6:D7"/>
    <mergeCell ref="A6:B7"/>
    <mergeCell ref="E8:G8"/>
    <mergeCell ref="E9:G9"/>
    <mergeCell ref="H8:J8"/>
    <mergeCell ref="H9:J9"/>
    <mergeCell ref="E6:G7"/>
    <mergeCell ref="H6:J7"/>
    <mergeCell ref="C8:D8"/>
    <mergeCell ref="C9:D9"/>
  </mergeCells>
  <hyperlinks>
    <hyperlink ref="Q60" r:id="rId1"/>
    <hyperlink ref="Q61" r:id="rId2"/>
  </hyperlinks>
  <pageMargins left="0.39370078740157483" right="0.19685039370078741" top="0.74803149606299213" bottom="0.74803149606299213" header="0.31496062992125984" footer="0.31496062992125984"/>
  <pageSetup paperSize="9" scale="65"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C2:AF147"/>
  <sheetViews>
    <sheetView topLeftCell="A34" zoomScale="85" zoomScaleNormal="85" workbookViewId="0">
      <selection activeCell="W8" sqref="W8"/>
    </sheetView>
  </sheetViews>
  <sheetFormatPr defaultRowHeight="15" x14ac:dyDescent="0.25"/>
  <cols>
    <col min="1" max="4" width="9.140625" style="65"/>
    <col min="5" max="5" width="2.140625" style="65" bestFit="1" customWidth="1"/>
    <col min="6" max="6" width="2" style="65" bestFit="1" customWidth="1"/>
    <col min="7" max="7" width="1.85546875" style="65" bestFit="1" customWidth="1"/>
    <col min="8" max="8" width="2.7109375" style="145" customWidth="1"/>
    <col min="9" max="9" width="3.85546875" style="65" bestFit="1" customWidth="1"/>
    <col min="10" max="10" width="2.140625" style="65" bestFit="1" customWidth="1"/>
    <col min="11" max="11" width="2" style="65" bestFit="1" customWidth="1"/>
    <col min="12" max="12" width="2.5703125" style="65" bestFit="1" customWidth="1"/>
    <col min="13" max="13" width="2.7109375" style="145" customWidth="1"/>
    <col min="14" max="14" width="8.42578125" style="65" bestFit="1" customWidth="1"/>
    <col min="15" max="15" width="2.140625" style="65" bestFit="1" customWidth="1"/>
    <col min="16" max="16" width="2" style="65" bestFit="1" customWidth="1"/>
    <col min="17" max="17" width="6" style="65" bestFit="1" customWidth="1"/>
    <col min="18" max="18" width="2.7109375" style="65" customWidth="1"/>
    <col min="19" max="19" width="2.85546875" style="145" bestFit="1" customWidth="1"/>
    <col min="20" max="20" width="2" style="65" bestFit="1" customWidth="1"/>
    <col min="21" max="21" width="2.85546875" style="65" bestFit="1" customWidth="1"/>
    <col min="22" max="28" width="9.140625" style="65"/>
    <col min="29" max="29" width="10.85546875" style="65" customWidth="1"/>
    <col min="30" max="16384" width="9.140625" style="65"/>
  </cols>
  <sheetData>
    <row r="2" spans="3:32" ht="18.75" x14ac:dyDescent="0.3">
      <c r="C2" s="171" t="s">
        <v>180</v>
      </c>
    </row>
    <row r="3" spans="3:32" ht="15.75" thickBot="1" x14ac:dyDescent="0.3"/>
    <row r="4" spans="3:32" ht="15.75" thickBot="1" x14ac:dyDescent="0.3">
      <c r="X4" s="192"/>
      <c r="Y4" s="177"/>
      <c r="Z4" s="177"/>
      <c r="AA4" s="177"/>
      <c r="AB4" s="177"/>
      <c r="AC4" s="177"/>
      <c r="AD4" s="177"/>
      <c r="AE4" s="177"/>
      <c r="AF4" s="178"/>
    </row>
    <row r="5" spans="3:32" x14ac:dyDescent="0.25">
      <c r="D5" s="149" t="s">
        <v>181</v>
      </c>
      <c r="E5" s="108" t="s">
        <v>230</v>
      </c>
      <c r="F5" s="108"/>
      <c r="G5" s="108"/>
      <c r="H5" s="109"/>
      <c r="I5" s="108"/>
      <c r="J5" s="108"/>
      <c r="K5" s="108"/>
      <c r="L5" s="108"/>
      <c r="M5" s="109"/>
      <c r="N5" s="108"/>
      <c r="O5" s="108"/>
      <c r="P5" s="108"/>
      <c r="Q5" s="108"/>
      <c r="R5" s="108"/>
      <c r="S5" s="109"/>
      <c r="T5" s="108"/>
      <c r="U5" s="110"/>
      <c r="X5" s="193" t="s">
        <v>218</v>
      </c>
      <c r="Y5" s="180"/>
      <c r="Z5" s="180"/>
      <c r="AA5" s="180"/>
      <c r="AB5" s="180"/>
      <c r="AC5" s="180"/>
      <c r="AD5" s="180"/>
      <c r="AE5" s="180"/>
      <c r="AF5" s="181"/>
    </row>
    <row r="6" spans="3:32" x14ac:dyDescent="0.25">
      <c r="D6" s="111"/>
      <c r="E6" s="112" t="s">
        <v>182</v>
      </c>
      <c r="F6" s="112"/>
      <c r="G6" s="112"/>
      <c r="H6" s="113"/>
      <c r="I6" s="112"/>
      <c r="J6" s="112"/>
      <c r="K6" s="112"/>
      <c r="L6" s="112"/>
      <c r="M6" s="113"/>
      <c r="N6" s="112"/>
      <c r="O6" s="112"/>
      <c r="P6" s="112"/>
      <c r="Q6" s="112"/>
      <c r="R6" s="112"/>
      <c r="S6" s="113"/>
      <c r="T6" s="112"/>
      <c r="U6" s="114"/>
      <c r="X6" s="179"/>
      <c r="Y6" s="180"/>
      <c r="Z6" s="180"/>
      <c r="AA6" s="180"/>
      <c r="AB6" s="180"/>
      <c r="AC6" s="180"/>
      <c r="AD6" s="180"/>
      <c r="AE6" s="180"/>
      <c r="AF6" s="181"/>
    </row>
    <row r="7" spans="3:32" x14ac:dyDescent="0.25">
      <c r="D7" s="111"/>
      <c r="E7" s="112" t="s">
        <v>183</v>
      </c>
      <c r="F7" s="112"/>
      <c r="G7" s="112"/>
      <c r="H7" s="113"/>
      <c r="I7" s="112"/>
      <c r="J7" s="112"/>
      <c r="K7" s="112"/>
      <c r="L7" s="112"/>
      <c r="M7" s="113"/>
      <c r="N7" s="112"/>
      <c r="O7" s="112"/>
      <c r="P7" s="112"/>
      <c r="Q7" s="112"/>
      <c r="R7" s="112"/>
      <c r="S7" s="113"/>
      <c r="T7" s="112"/>
      <c r="U7" s="114"/>
      <c r="X7" s="188" t="s">
        <v>189</v>
      </c>
      <c r="Y7" s="180" t="s">
        <v>2</v>
      </c>
      <c r="Z7" s="180" t="s">
        <v>224</v>
      </c>
      <c r="AA7" s="180"/>
      <c r="AB7" s="180"/>
      <c r="AC7" s="180"/>
      <c r="AD7" s="180" t="s">
        <v>161</v>
      </c>
      <c r="AE7" s="182" t="s">
        <v>219</v>
      </c>
      <c r="AF7" s="183"/>
    </row>
    <row r="8" spans="3:32" ht="15.75" thickBot="1" x14ac:dyDescent="0.3">
      <c r="D8" s="115"/>
      <c r="E8" s="116" t="s">
        <v>184</v>
      </c>
      <c r="F8" s="116"/>
      <c r="G8" s="116"/>
      <c r="H8" s="117"/>
      <c r="I8" s="116"/>
      <c r="J8" s="116"/>
      <c r="K8" s="116"/>
      <c r="L8" s="116"/>
      <c r="M8" s="118"/>
      <c r="N8" s="116"/>
      <c r="O8" s="116"/>
      <c r="P8" s="116"/>
      <c r="Q8" s="116"/>
      <c r="R8" s="116"/>
      <c r="S8" s="117"/>
      <c r="T8" s="116"/>
      <c r="U8" s="119"/>
      <c r="X8" s="188" t="s">
        <v>167</v>
      </c>
      <c r="Y8" s="180" t="s">
        <v>2</v>
      </c>
      <c r="Z8" s="180" t="s">
        <v>220</v>
      </c>
      <c r="AA8" s="180"/>
      <c r="AB8" s="180" t="s">
        <v>161</v>
      </c>
      <c r="AC8" s="180"/>
      <c r="AD8" s="180"/>
      <c r="AE8" s="182" t="s">
        <v>219</v>
      </c>
      <c r="AF8" s="183"/>
    </row>
    <row r="9" spans="3:32" x14ac:dyDescent="0.25">
      <c r="X9" s="189" t="s">
        <v>22</v>
      </c>
      <c r="Y9" s="180" t="s">
        <v>2</v>
      </c>
      <c r="Z9" s="180" t="s">
        <v>221</v>
      </c>
      <c r="AA9" s="180"/>
      <c r="AB9" s="180"/>
      <c r="AC9" s="180"/>
      <c r="AD9" s="180"/>
      <c r="AE9" s="182" t="s">
        <v>34</v>
      </c>
      <c r="AF9" s="183"/>
    </row>
    <row r="10" spans="3:32" x14ac:dyDescent="0.25">
      <c r="X10" s="189" t="s">
        <v>222</v>
      </c>
      <c r="Y10" s="180" t="s">
        <v>2</v>
      </c>
      <c r="Z10" s="180" t="s">
        <v>223</v>
      </c>
      <c r="AA10" s="180"/>
      <c r="AB10" s="180"/>
      <c r="AC10" s="180"/>
      <c r="AD10" s="180"/>
      <c r="AE10" s="182" t="s">
        <v>25</v>
      </c>
      <c r="AF10" s="183"/>
    </row>
    <row r="11" spans="3:32" ht="15.75" thickBot="1" x14ac:dyDescent="0.3">
      <c r="X11" s="189" t="s">
        <v>187</v>
      </c>
      <c r="Y11" s="180" t="s">
        <v>2</v>
      </c>
      <c r="Z11" s="180" t="s">
        <v>225</v>
      </c>
      <c r="AA11" s="180"/>
      <c r="AB11" s="180"/>
      <c r="AC11" s="180"/>
      <c r="AD11" s="180"/>
      <c r="AE11" s="182" t="s">
        <v>35</v>
      </c>
      <c r="AF11" s="183"/>
    </row>
    <row r="12" spans="3:32" x14ac:dyDescent="0.25">
      <c r="C12" s="149" t="s">
        <v>185</v>
      </c>
      <c r="D12" s="108"/>
      <c r="E12" s="108"/>
      <c r="F12" s="108"/>
      <c r="G12" s="108"/>
      <c r="H12" s="109"/>
      <c r="I12" s="108"/>
      <c r="J12" s="108"/>
      <c r="K12" s="108"/>
      <c r="L12" s="108"/>
      <c r="M12" s="109"/>
      <c r="N12" s="108"/>
      <c r="O12" s="108"/>
      <c r="P12" s="108"/>
      <c r="Q12" s="108"/>
      <c r="R12" s="108"/>
      <c r="S12" s="109"/>
      <c r="T12" s="108"/>
      <c r="U12" s="108"/>
      <c r="V12" s="110"/>
      <c r="X12" s="189" t="s">
        <v>188</v>
      </c>
      <c r="Y12" s="180" t="s">
        <v>2</v>
      </c>
      <c r="Z12" s="180" t="s">
        <v>226</v>
      </c>
      <c r="AA12" s="180"/>
      <c r="AB12" s="180"/>
      <c r="AC12" s="180"/>
      <c r="AD12" s="180"/>
      <c r="AE12" s="182" t="s">
        <v>35</v>
      </c>
      <c r="AF12" s="183"/>
    </row>
    <row r="13" spans="3:32" x14ac:dyDescent="0.25">
      <c r="C13" s="111"/>
      <c r="D13" s="112"/>
      <c r="E13" s="112"/>
      <c r="F13" s="112"/>
      <c r="G13" s="112"/>
      <c r="H13" s="113"/>
      <c r="I13" s="112"/>
      <c r="J13" s="112"/>
      <c r="K13" s="112"/>
      <c r="L13" s="112"/>
      <c r="M13" s="113"/>
      <c r="N13" s="112"/>
      <c r="O13" s="112"/>
      <c r="P13" s="112"/>
      <c r="Q13" s="112"/>
      <c r="R13" s="112"/>
      <c r="S13" s="113"/>
      <c r="T13" s="112"/>
      <c r="U13" s="112"/>
      <c r="V13" s="114"/>
      <c r="X13" s="189" t="s">
        <v>0</v>
      </c>
      <c r="Y13" s="180" t="s">
        <v>2</v>
      </c>
      <c r="Z13" s="180" t="s">
        <v>227</v>
      </c>
      <c r="AA13" s="180"/>
      <c r="AB13" s="180"/>
      <c r="AC13" s="180"/>
      <c r="AD13" s="180"/>
      <c r="AE13" s="182"/>
      <c r="AF13" s="183"/>
    </row>
    <row r="14" spans="3:32" x14ac:dyDescent="0.25">
      <c r="C14" s="111"/>
      <c r="D14" s="120"/>
      <c r="E14" s="271" t="s">
        <v>22</v>
      </c>
      <c r="F14" s="271"/>
      <c r="G14" s="271"/>
      <c r="H14" s="113"/>
      <c r="I14" s="271" t="s">
        <v>187</v>
      </c>
      <c r="J14" s="271"/>
      <c r="K14" s="271"/>
      <c r="L14" s="271"/>
      <c r="M14" s="113"/>
      <c r="N14" s="271" t="s">
        <v>188</v>
      </c>
      <c r="O14" s="271"/>
      <c r="P14" s="271"/>
      <c r="Q14" s="271"/>
      <c r="R14" s="112"/>
      <c r="S14" s="113"/>
      <c r="T14" s="112"/>
      <c r="U14" s="112"/>
      <c r="V14" s="114"/>
      <c r="X14" s="189"/>
      <c r="Y14" s="180"/>
      <c r="Z14" s="180" t="s">
        <v>228</v>
      </c>
      <c r="AA14" s="180"/>
      <c r="AB14" s="180"/>
      <c r="AC14" s="180"/>
      <c r="AD14" s="180"/>
      <c r="AE14" s="182" t="s">
        <v>229</v>
      </c>
      <c r="AF14" s="183"/>
    </row>
    <row r="15" spans="3:32" x14ac:dyDescent="0.25">
      <c r="C15" s="121" t="s">
        <v>189</v>
      </c>
      <c r="D15" s="113" t="s">
        <v>2</v>
      </c>
      <c r="E15" s="120"/>
      <c r="F15" s="120"/>
      <c r="G15" s="120"/>
      <c r="H15" s="113" t="s">
        <v>37</v>
      </c>
      <c r="I15" s="120"/>
      <c r="J15" s="120"/>
      <c r="K15" s="120"/>
      <c r="L15" s="120"/>
      <c r="M15" s="113" t="s">
        <v>37</v>
      </c>
      <c r="N15" s="120"/>
      <c r="O15" s="120"/>
      <c r="P15" s="120"/>
      <c r="Q15" s="120"/>
      <c r="R15" s="112" t="s">
        <v>37</v>
      </c>
      <c r="S15" s="113" t="s">
        <v>0</v>
      </c>
      <c r="T15" s="122" t="s">
        <v>52</v>
      </c>
      <c r="U15" s="122" t="s">
        <v>186</v>
      </c>
      <c r="V15" s="114"/>
      <c r="W15" s="107"/>
      <c r="X15" s="188" t="s">
        <v>12</v>
      </c>
      <c r="Y15" s="180" t="s">
        <v>2</v>
      </c>
      <c r="Z15" s="180" t="s">
        <v>231</v>
      </c>
      <c r="AA15" s="180"/>
      <c r="AB15" s="184" t="s">
        <v>159</v>
      </c>
      <c r="AC15" s="194" t="s">
        <v>232</v>
      </c>
      <c r="AD15" s="180"/>
      <c r="AE15" s="182" t="s">
        <v>28</v>
      </c>
      <c r="AF15" s="183"/>
    </row>
    <row r="16" spans="3:32" ht="17.25" x14ac:dyDescent="0.25">
      <c r="C16" s="123"/>
      <c r="D16" s="120"/>
      <c r="E16" s="113" t="s">
        <v>4</v>
      </c>
      <c r="F16" s="113" t="s">
        <v>40</v>
      </c>
      <c r="G16" s="113" t="s">
        <v>5</v>
      </c>
      <c r="H16" s="113"/>
      <c r="I16" s="124" t="s">
        <v>50</v>
      </c>
      <c r="J16" s="113" t="s">
        <v>4</v>
      </c>
      <c r="K16" s="113" t="s">
        <v>40</v>
      </c>
      <c r="L16" s="113" t="s">
        <v>51</v>
      </c>
      <c r="M16" s="113"/>
      <c r="N16" s="124" t="s">
        <v>50</v>
      </c>
      <c r="O16" s="113" t="s">
        <v>4</v>
      </c>
      <c r="P16" s="113" t="s">
        <v>40</v>
      </c>
      <c r="Q16" s="113" t="s">
        <v>51</v>
      </c>
      <c r="R16" s="112"/>
      <c r="S16" s="113"/>
      <c r="T16" s="112"/>
      <c r="U16" s="112"/>
      <c r="V16" s="114"/>
      <c r="X16" s="189"/>
      <c r="Y16" s="180"/>
      <c r="Z16" s="180" t="s">
        <v>264</v>
      </c>
      <c r="AA16" s="180"/>
      <c r="AB16" s="180"/>
      <c r="AC16" s="180"/>
      <c r="AD16" s="180"/>
      <c r="AE16" s="182"/>
      <c r="AF16" s="183"/>
    </row>
    <row r="17" spans="3:32" ht="15.75" thickBot="1" x14ac:dyDescent="0.3">
      <c r="C17" s="115"/>
      <c r="D17" s="116"/>
      <c r="E17" s="116"/>
      <c r="F17" s="116"/>
      <c r="G17" s="116"/>
      <c r="H17" s="117"/>
      <c r="I17" s="116"/>
      <c r="J17" s="116"/>
      <c r="K17" s="116"/>
      <c r="L17" s="116"/>
      <c r="M17" s="117"/>
      <c r="N17" s="116"/>
      <c r="O17" s="116"/>
      <c r="P17" s="116"/>
      <c r="Q17" s="116"/>
      <c r="R17" s="116"/>
      <c r="S17" s="117"/>
      <c r="T17" s="116"/>
      <c r="U17" s="116"/>
      <c r="V17" s="119"/>
      <c r="X17" s="189" t="s">
        <v>44</v>
      </c>
      <c r="Y17" s="180" t="s">
        <v>2</v>
      </c>
      <c r="Z17" s="180" t="s">
        <v>234</v>
      </c>
      <c r="AA17" s="180"/>
      <c r="AB17" s="180"/>
      <c r="AC17" s="180"/>
      <c r="AD17" s="180"/>
      <c r="AE17" s="182" t="s">
        <v>28</v>
      </c>
      <c r="AF17" s="183"/>
    </row>
    <row r="18" spans="3:32" x14ac:dyDescent="0.25">
      <c r="X18" s="188" t="s">
        <v>41</v>
      </c>
      <c r="Y18" s="180" t="s">
        <v>2</v>
      </c>
      <c r="Z18" s="180" t="s">
        <v>233</v>
      </c>
      <c r="AA18" s="180"/>
      <c r="AB18" s="180"/>
      <c r="AC18" s="180"/>
      <c r="AD18" s="180"/>
      <c r="AE18" s="182" t="s">
        <v>33</v>
      </c>
      <c r="AF18" s="183"/>
    </row>
    <row r="19" spans="3:32" x14ac:dyDescent="0.25">
      <c r="X19" s="188" t="s">
        <v>32</v>
      </c>
      <c r="Y19" s="180" t="s">
        <v>2</v>
      </c>
      <c r="Z19" s="180" t="s">
        <v>235</v>
      </c>
      <c r="AA19" s="180"/>
      <c r="AB19" s="180"/>
      <c r="AC19" s="180"/>
      <c r="AD19" s="180"/>
      <c r="AE19" s="182" t="s">
        <v>33</v>
      </c>
      <c r="AF19" s="183"/>
    </row>
    <row r="20" spans="3:32" x14ac:dyDescent="0.25">
      <c r="X20" s="189" t="s">
        <v>75</v>
      </c>
      <c r="Y20" s="180" t="s">
        <v>2</v>
      </c>
      <c r="Z20" s="180" t="s">
        <v>236</v>
      </c>
      <c r="AA20" s="180"/>
      <c r="AB20" s="180"/>
      <c r="AC20" s="180"/>
      <c r="AD20" s="180"/>
      <c r="AE20" s="182" t="s">
        <v>34</v>
      </c>
      <c r="AF20" s="183"/>
    </row>
    <row r="21" spans="3:32" ht="15.75" thickBot="1" x14ac:dyDescent="0.3">
      <c r="X21" s="189" t="s">
        <v>82</v>
      </c>
      <c r="Y21" s="180" t="s">
        <v>2</v>
      </c>
      <c r="Z21" s="180" t="s">
        <v>237</v>
      </c>
      <c r="AA21" s="180"/>
      <c r="AB21" s="180"/>
      <c r="AC21" s="180"/>
      <c r="AD21" s="180"/>
      <c r="AE21" s="182" t="s">
        <v>34</v>
      </c>
      <c r="AF21" s="183"/>
    </row>
    <row r="22" spans="3:32" x14ac:dyDescent="0.25">
      <c r="C22" s="149" t="s">
        <v>190</v>
      </c>
      <c r="D22" s="108"/>
      <c r="E22" s="108"/>
      <c r="F22" s="108"/>
      <c r="G22" s="108"/>
      <c r="H22" s="109"/>
      <c r="I22" s="108"/>
      <c r="J22" s="108"/>
      <c r="K22" s="108"/>
      <c r="L22" s="108"/>
      <c r="M22" s="109"/>
      <c r="N22" s="108"/>
      <c r="O22" s="108"/>
      <c r="P22" s="108"/>
      <c r="Q22" s="108"/>
      <c r="R22" s="108"/>
      <c r="S22" s="109"/>
      <c r="T22" s="108"/>
      <c r="U22" s="108"/>
      <c r="V22" s="110"/>
      <c r="X22" s="188" t="s">
        <v>69</v>
      </c>
      <c r="Y22" s="180" t="s">
        <v>2</v>
      </c>
      <c r="Z22" s="180" t="s">
        <v>266</v>
      </c>
      <c r="AA22" s="180"/>
      <c r="AB22" s="180"/>
      <c r="AC22" s="180"/>
      <c r="AD22" s="180"/>
      <c r="AE22" s="182"/>
      <c r="AF22" s="183"/>
    </row>
    <row r="23" spans="3:32" x14ac:dyDescent="0.25">
      <c r="C23" s="111"/>
      <c r="D23" s="112"/>
      <c r="E23" s="112"/>
      <c r="F23" s="112"/>
      <c r="G23" s="112"/>
      <c r="H23" s="113"/>
      <c r="I23" s="112"/>
      <c r="J23" s="112"/>
      <c r="K23" s="112"/>
      <c r="L23" s="112"/>
      <c r="M23" s="113"/>
      <c r="N23" s="112"/>
      <c r="O23" s="112"/>
      <c r="P23" s="112"/>
      <c r="Q23" s="112"/>
      <c r="R23" s="112"/>
      <c r="S23" s="113"/>
      <c r="T23" s="112"/>
      <c r="U23" s="112"/>
      <c r="V23" s="114"/>
      <c r="X23" s="188" t="s">
        <v>263</v>
      </c>
      <c r="Y23" s="180" t="s">
        <v>2</v>
      </c>
      <c r="Z23" s="180" t="s">
        <v>238</v>
      </c>
      <c r="AA23" s="180"/>
      <c r="AB23" s="180"/>
      <c r="AC23" s="180"/>
      <c r="AD23" s="180"/>
      <c r="AE23" s="182"/>
      <c r="AF23" s="183"/>
    </row>
    <row r="24" spans="3:32" x14ac:dyDescent="0.25">
      <c r="C24" s="111"/>
      <c r="D24" s="120"/>
      <c r="E24" s="271" t="s">
        <v>22</v>
      </c>
      <c r="F24" s="271"/>
      <c r="G24" s="271"/>
      <c r="H24" s="113"/>
      <c r="I24" s="271" t="s">
        <v>187</v>
      </c>
      <c r="J24" s="271"/>
      <c r="K24" s="271"/>
      <c r="L24" s="271"/>
      <c r="M24" s="113"/>
      <c r="N24" s="271" t="s">
        <v>188</v>
      </c>
      <c r="O24" s="271"/>
      <c r="P24" s="271"/>
      <c r="Q24" s="271"/>
      <c r="R24" s="112"/>
      <c r="S24" s="113"/>
      <c r="T24" s="112"/>
      <c r="U24" s="112"/>
      <c r="V24" s="114"/>
      <c r="X24" s="189"/>
      <c r="Y24" s="180"/>
      <c r="Z24" s="180" t="s">
        <v>239</v>
      </c>
      <c r="AA24" s="180"/>
      <c r="AB24" s="180"/>
      <c r="AC24" s="180"/>
      <c r="AD24" s="180"/>
      <c r="AE24" s="182"/>
      <c r="AF24" s="183"/>
    </row>
    <row r="25" spans="3:32" x14ac:dyDescent="0.25">
      <c r="C25" s="121" t="s">
        <v>64</v>
      </c>
      <c r="D25" s="113" t="s">
        <v>2</v>
      </c>
      <c r="E25" s="120"/>
      <c r="F25" s="120"/>
      <c r="G25" s="120"/>
      <c r="H25" s="113" t="s">
        <v>37</v>
      </c>
      <c r="I25" s="120"/>
      <c r="J25" s="120"/>
      <c r="K25" s="120"/>
      <c r="L25" s="120"/>
      <c r="M25" s="113" t="s">
        <v>37</v>
      </c>
      <c r="N25" s="120"/>
      <c r="O25" s="120"/>
      <c r="P25" s="120"/>
      <c r="Q25" s="120"/>
      <c r="R25" s="112" t="s">
        <v>37</v>
      </c>
      <c r="S25" s="113" t="s">
        <v>0</v>
      </c>
      <c r="T25" s="122" t="s">
        <v>52</v>
      </c>
      <c r="U25" s="122" t="s">
        <v>186</v>
      </c>
      <c r="V25" s="114"/>
      <c r="X25" s="189" t="s">
        <v>79</v>
      </c>
      <c r="Y25" s="180" t="s">
        <v>2</v>
      </c>
      <c r="Z25" s="180" t="s">
        <v>240</v>
      </c>
      <c r="AA25" s="180"/>
      <c r="AB25" s="180"/>
      <c r="AC25" s="180"/>
      <c r="AD25" s="180"/>
      <c r="AE25" s="182" t="s">
        <v>28</v>
      </c>
      <c r="AF25" s="183"/>
    </row>
    <row r="26" spans="3:32" ht="17.25" x14ac:dyDescent="0.25">
      <c r="C26" s="123"/>
      <c r="D26" s="120"/>
      <c r="E26" s="113" t="s">
        <v>4</v>
      </c>
      <c r="F26" s="113" t="s">
        <v>40</v>
      </c>
      <c r="G26" s="113" t="s">
        <v>5</v>
      </c>
      <c r="H26" s="113"/>
      <c r="I26" s="124" t="s">
        <v>50</v>
      </c>
      <c r="J26" s="113" t="s">
        <v>4</v>
      </c>
      <c r="K26" s="113" t="s">
        <v>40</v>
      </c>
      <c r="L26" s="113" t="s">
        <v>51</v>
      </c>
      <c r="M26" s="113"/>
      <c r="N26" s="124" t="s">
        <v>50</v>
      </c>
      <c r="O26" s="113" t="s">
        <v>4</v>
      </c>
      <c r="P26" s="113" t="s">
        <v>40</v>
      </c>
      <c r="Q26" s="113" t="s">
        <v>51</v>
      </c>
      <c r="R26" s="112"/>
      <c r="S26" s="113"/>
      <c r="T26" s="112"/>
      <c r="U26" s="112"/>
      <c r="V26" s="114"/>
      <c r="X26" s="188" t="s">
        <v>86</v>
      </c>
      <c r="Y26" s="180" t="s">
        <v>2</v>
      </c>
      <c r="Z26" s="180" t="s">
        <v>241</v>
      </c>
      <c r="AA26" s="180"/>
      <c r="AB26" s="180"/>
      <c r="AC26" s="180"/>
      <c r="AD26" s="180"/>
      <c r="AE26" s="182"/>
      <c r="AF26" s="183"/>
    </row>
    <row r="27" spans="3:32" x14ac:dyDescent="0.25">
      <c r="C27" s="111"/>
      <c r="D27" s="112"/>
      <c r="E27" s="112"/>
      <c r="F27" s="112"/>
      <c r="G27" s="112"/>
      <c r="H27" s="113"/>
      <c r="I27" s="112"/>
      <c r="J27" s="112"/>
      <c r="K27" s="112"/>
      <c r="L27" s="112"/>
      <c r="M27" s="113"/>
      <c r="N27" s="112"/>
      <c r="O27" s="112"/>
      <c r="P27" s="112"/>
      <c r="Q27" s="112"/>
      <c r="R27" s="112"/>
      <c r="S27" s="113"/>
      <c r="T27" s="112"/>
      <c r="U27" s="112"/>
      <c r="V27" s="114"/>
      <c r="X27" s="189"/>
      <c r="Y27" s="180"/>
      <c r="Z27" s="180" t="s">
        <v>242</v>
      </c>
      <c r="AA27" s="180"/>
      <c r="AB27" s="180"/>
      <c r="AC27" s="180"/>
      <c r="AD27" s="180"/>
      <c r="AE27" s="182"/>
      <c r="AF27" s="183"/>
    </row>
    <row r="28" spans="3:32" x14ac:dyDescent="0.25">
      <c r="C28" s="111"/>
      <c r="D28" s="120"/>
      <c r="E28" s="271" t="s">
        <v>22</v>
      </c>
      <c r="F28" s="271"/>
      <c r="G28" s="271"/>
      <c r="H28" s="113"/>
      <c r="I28" s="271" t="s">
        <v>187</v>
      </c>
      <c r="J28" s="271"/>
      <c r="K28" s="271"/>
      <c r="L28" s="271"/>
      <c r="M28" s="113"/>
      <c r="N28" s="271" t="s">
        <v>188</v>
      </c>
      <c r="O28" s="271"/>
      <c r="P28" s="271"/>
      <c r="Q28" s="271"/>
      <c r="R28" s="112"/>
      <c r="S28" s="113"/>
      <c r="T28" s="112"/>
      <c r="U28" s="112"/>
      <c r="V28" s="114"/>
      <c r="X28" s="189"/>
      <c r="Y28" s="180"/>
      <c r="Z28" s="185">
        <v>40</v>
      </c>
      <c r="AA28" s="185" t="s">
        <v>2</v>
      </c>
      <c r="AB28" s="185" t="s">
        <v>243</v>
      </c>
      <c r="AC28" s="186"/>
      <c r="AD28" s="180"/>
      <c r="AE28" s="182"/>
      <c r="AF28" s="183"/>
    </row>
    <row r="29" spans="3:32" x14ac:dyDescent="0.25">
      <c r="C29" s="121" t="s">
        <v>63</v>
      </c>
      <c r="D29" s="113" t="s">
        <v>2</v>
      </c>
      <c r="E29" s="120"/>
      <c r="F29" s="120"/>
      <c r="G29" s="120"/>
      <c r="H29" s="113" t="s">
        <v>54</v>
      </c>
      <c r="I29" s="120"/>
      <c r="J29" s="120"/>
      <c r="K29" s="120"/>
      <c r="L29" s="120"/>
      <c r="M29" s="113" t="s">
        <v>54</v>
      </c>
      <c r="N29" s="120"/>
      <c r="O29" s="120"/>
      <c r="P29" s="120"/>
      <c r="Q29" s="120"/>
      <c r="R29" s="112" t="s">
        <v>37</v>
      </c>
      <c r="S29" s="113" t="s">
        <v>0</v>
      </c>
      <c r="T29" s="122" t="s">
        <v>52</v>
      </c>
      <c r="U29" s="122" t="s">
        <v>186</v>
      </c>
      <c r="V29" s="114"/>
      <c r="X29" s="189"/>
      <c r="Y29" s="180"/>
      <c r="Z29" s="185">
        <v>30</v>
      </c>
      <c r="AA29" s="185" t="s">
        <v>2</v>
      </c>
      <c r="AB29" s="185" t="s">
        <v>244</v>
      </c>
      <c r="AC29" s="186"/>
      <c r="AD29" s="180"/>
      <c r="AE29" s="182"/>
      <c r="AF29" s="183"/>
    </row>
    <row r="30" spans="3:32" ht="18" thickBot="1" x14ac:dyDescent="0.3">
      <c r="C30" s="125"/>
      <c r="D30" s="126"/>
      <c r="E30" s="117" t="s">
        <v>4</v>
      </c>
      <c r="F30" s="117" t="s">
        <v>40</v>
      </c>
      <c r="G30" s="117" t="s">
        <v>5</v>
      </c>
      <c r="H30" s="117"/>
      <c r="I30" s="127" t="s">
        <v>50</v>
      </c>
      <c r="J30" s="117" t="s">
        <v>4</v>
      </c>
      <c r="K30" s="117" t="s">
        <v>40</v>
      </c>
      <c r="L30" s="117" t="s">
        <v>51</v>
      </c>
      <c r="M30" s="117"/>
      <c r="N30" s="127" t="s">
        <v>50</v>
      </c>
      <c r="O30" s="117" t="s">
        <v>4</v>
      </c>
      <c r="P30" s="117" t="s">
        <v>40</v>
      </c>
      <c r="Q30" s="117" t="s">
        <v>51</v>
      </c>
      <c r="R30" s="116"/>
      <c r="S30" s="117"/>
      <c r="T30" s="116"/>
      <c r="U30" s="116"/>
      <c r="V30" s="119"/>
      <c r="X30" s="189"/>
      <c r="Y30" s="180"/>
      <c r="Z30" s="185">
        <v>20</v>
      </c>
      <c r="AA30" s="185" t="s">
        <v>2</v>
      </c>
      <c r="AB30" s="185" t="s">
        <v>245</v>
      </c>
      <c r="AC30" s="186"/>
      <c r="AD30" s="180"/>
      <c r="AE30" s="182"/>
      <c r="AF30" s="183"/>
    </row>
    <row r="31" spans="3:32" x14ac:dyDescent="0.25">
      <c r="X31" s="188" t="s">
        <v>63</v>
      </c>
      <c r="Y31" s="180" t="s">
        <v>2</v>
      </c>
      <c r="Z31" s="180" t="s">
        <v>247</v>
      </c>
      <c r="AA31" s="180"/>
      <c r="AB31" s="180"/>
      <c r="AC31" s="180"/>
      <c r="AD31" s="180" t="s">
        <v>161</v>
      </c>
      <c r="AE31" s="182" t="s">
        <v>219</v>
      </c>
      <c r="AF31" s="183"/>
    </row>
    <row r="32" spans="3:32" x14ac:dyDescent="0.25">
      <c r="X32" s="188" t="s">
        <v>64</v>
      </c>
      <c r="Y32" s="180" t="s">
        <v>2</v>
      </c>
      <c r="Z32" s="180" t="s">
        <v>246</v>
      </c>
      <c r="AA32" s="180"/>
      <c r="AB32" s="180"/>
      <c r="AC32" s="180"/>
      <c r="AD32" s="180" t="s">
        <v>161</v>
      </c>
      <c r="AE32" s="182" t="s">
        <v>219</v>
      </c>
      <c r="AF32" s="183"/>
    </row>
    <row r="33" spans="3:32" x14ac:dyDescent="0.25">
      <c r="X33" s="188" t="s">
        <v>62</v>
      </c>
      <c r="Y33" s="180" t="s">
        <v>2</v>
      </c>
      <c r="Z33" s="180" t="s">
        <v>248</v>
      </c>
      <c r="AA33" s="180"/>
      <c r="AB33" s="180"/>
      <c r="AC33" s="180"/>
      <c r="AD33" s="180"/>
      <c r="AE33" s="182" t="s">
        <v>219</v>
      </c>
      <c r="AF33" s="183"/>
    </row>
    <row r="34" spans="3:32" ht="15.75" thickBot="1" x14ac:dyDescent="0.3">
      <c r="X34" s="188" t="s">
        <v>93</v>
      </c>
      <c r="Y34" s="180" t="s">
        <v>2</v>
      </c>
      <c r="Z34" s="180" t="s">
        <v>249</v>
      </c>
      <c r="AA34" s="180"/>
      <c r="AB34" s="180"/>
      <c r="AC34" s="180"/>
      <c r="AD34" s="180"/>
      <c r="AE34" s="182" t="s">
        <v>219</v>
      </c>
      <c r="AF34" s="183"/>
    </row>
    <row r="35" spans="3:32" x14ac:dyDescent="0.25">
      <c r="C35" s="128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30"/>
      <c r="X35" s="189" t="s">
        <v>58</v>
      </c>
      <c r="Y35" s="180" t="s">
        <v>2</v>
      </c>
      <c r="Z35" s="180" t="s">
        <v>250</v>
      </c>
      <c r="AA35" s="180"/>
      <c r="AB35" s="180"/>
      <c r="AC35" s="180"/>
      <c r="AD35" s="180"/>
      <c r="AE35" s="182" t="s">
        <v>28</v>
      </c>
      <c r="AF35" s="183"/>
    </row>
    <row r="36" spans="3:32" x14ac:dyDescent="0.25">
      <c r="C36" s="147" t="s">
        <v>168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3"/>
      <c r="X36" s="189"/>
      <c r="Y36" s="180"/>
      <c r="Z36" s="180" t="s">
        <v>251</v>
      </c>
      <c r="AA36" s="180"/>
      <c r="AB36" s="180"/>
      <c r="AC36" s="180"/>
      <c r="AD36" s="180"/>
      <c r="AE36" s="182"/>
      <c r="AF36" s="183"/>
    </row>
    <row r="37" spans="3:32" x14ac:dyDescent="0.25">
      <c r="C37" s="131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3"/>
      <c r="X37" s="189" t="s">
        <v>9</v>
      </c>
      <c r="Y37" s="180" t="s">
        <v>2</v>
      </c>
      <c r="Z37" s="180" t="s">
        <v>252</v>
      </c>
      <c r="AA37" s="180"/>
      <c r="AB37" s="180"/>
      <c r="AC37" s="180"/>
      <c r="AD37" s="180"/>
      <c r="AE37" s="182" t="s">
        <v>29</v>
      </c>
      <c r="AF37" s="183"/>
    </row>
    <row r="38" spans="3:32" x14ac:dyDescent="0.25">
      <c r="C38" s="131"/>
      <c r="D38" s="132"/>
      <c r="E38" s="132"/>
      <c r="F38" s="132"/>
      <c r="G38" s="132"/>
      <c r="H38" s="132"/>
      <c r="I38" s="273" t="s">
        <v>64</v>
      </c>
      <c r="J38" s="273"/>
      <c r="K38" s="273"/>
      <c r="L38" s="132" t="s">
        <v>37</v>
      </c>
      <c r="M38" s="274" t="s">
        <v>62</v>
      </c>
      <c r="N38" s="274"/>
      <c r="O38" s="274"/>
      <c r="P38" s="132"/>
      <c r="Q38" s="132"/>
      <c r="R38" s="132"/>
      <c r="S38" s="132"/>
      <c r="T38" s="132"/>
      <c r="U38" s="132"/>
      <c r="V38" s="133"/>
      <c r="X38" s="189" t="s">
        <v>98</v>
      </c>
      <c r="Y38" s="180" t="s">
        <v>2</v>
      </c>
      <c r="Z38" s="180" t="s">
        <v>253</v>
      </c>
      <c r="AA38" s="180"/>
      <c r="AB38" s="180"/>
      <c r="AC38" s="180"/>
      <c r="AD38" s="180"/>
      <c r="AE38" s="182" t="s">
        <v>29</v>
      </c>
      <c r="AF38" s="183"/>
    </row>
    <row r="39" spans="3:32" x14ac:dyDescent="0.25">
      <c r="C39" s="134" t="s">
        <v>75</v>
      </c>
      <c r="D39" s="132" t="s">
        <v>2</v>
      </c>
      <c r="E39" s="132" t="s">
        <v>58</v>
      </c>
      <c r="F39" s="132" t="s">
        <v>40</v>
      </c>
      <c r="G39" s="132" t="s">
        <v>4</v>
      </c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3"/>
      <c r="X39" s="189" t="s">
        <v>56</v>
      </c>
      <c r="Y39" s="180" t="s">
        <v>2</v>
      </c>
      <c r="Z39" s="180" t="s">
        <v>254</v>
      </c>
      <c r="AA39" s="180"/>
      <c r="AB39" s="180"/>
      <c r="AC39" s="180"/>
      <c r="AD39" s="180"/>
      <c r="AE39" s="182" t="s">
        <v>28</v>
      </c>
      <c r="AF39" s="183"/>
    </row>
    <row r="40" spans="3:32" x14ac:dyDescent="0.25">
      <c r="C40" s="134"/>
      <c r="D40" s="132"/>
      <c r="E40" s="132"/>
      <c r="F40" s="132"/>
      <c r="G40" s="132"/>
      <c r="H40" s="132"/>
      <c r="I40" s="132"/>
      <c r="J40" s="132"/>
      <c r="K40" s="132">
        <v>2</v>
      </c>
      <c r="L40" s="112"/>
      <c r="M40" s="132"/>
      <c r="N40" s="132"/>
      <c r="O40" s="132"/>
      <c r="P40" s="132"/>
      <c r="Q40" s="132"/>
      <c r="R40" s="132"/>
      <c r="S40" s="132"/>
      <c r="T40" s="132"/>
      <c r="U40" s="132"/>
      <c r="V40" s="133"/>
      <c r="X40" s="189"/>
      <c r="Y40" s="180"/>
      <c r="Z40" s="180" t="s">
        <v>265</v>
      </c>
      <c r="AA40" s="195"/>
      <c r="AB40" s="180"/>
      <c r="AC40" s="180"/>
      <c r="AD40" s="180"/>
      <c r="AE40" s="182"/>
      <c r="AF40" s="183"/>
    </row>
    <row r="41" spans="3:32" x14ac:dyDescent="0.25">
      <c r="C41" s="134" t="s">
        <v>191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3"/>
      <c r="X41" s="189" t="s">
        <v>17</v>
      </c>
      <c r="Y41" s="180" t="s">
        <v>2</v>
      </c>
      <c r="Z41" s="180" t="s">
        <v>255</v>
      </c>
      <c r="AA41" s="180"/>
      <c r="AB41" s="180"/>
      <c r="AC41" s="180"/>
      <c r="AD41" s="180"/>
      <c r="AE41" s="182" t="s">
        <v>28</v>
      </c>
      <c r="AF41" s="183"/>
    </row>
    <row r="42" spans="3:32" x14ac:dyDescent="0.25">
      <c r="C42" s="134"/>
      <c r="D42" s="132"/>
      <c r="E42" s="132"/>
      <c r="F42" s="132"/>
      <c r="G42" s="132"/>
      <c r="H42" s="132"/>
      <c r="I42" s="132" t="s">
        <v>5</v>
      </c>
      <c r="J42" s="132" t="s">
        <v>54</v>
      </c>
      <c r="K42" s="132" t="s">
        <v>58</v>
      </c>
      <c r="L42" s="132" t="s">
        <v>40</v>
      </c>
      <c r="M42" s="274" t="s">
        <v>64</v>
      </c>
      <c r="N42" s="274"/>
      <c r="O42" s="132" t="s">
        <v>54</v>
      </c>
      <c r="P42" s="274" t="s">
        <v>63</v>
      </c>
      <c r="Q42" s="274"/>
      <c r="R42" s="274"/>
      <c r="S42" s="132"/>
      <c r="T42" s="132"/>
      <c r="U42" s="132"/>
      <c r="V42" s="133"/>
      <c r="X42" s="189" t="s">
        <v>256</v>
      </c>
      <c r="Y42" s="180" t="s">
        <v>2</v>
      </c>
      <c r="Z42" s="180" t="s">
        <v>257</v>
      </c>
      <c r="AA42" s="180"/>
      <c r="AB42" s="180"/>
      <c r="AC42" s="180"/>
      <c r="AD42" s="180"/>
      <c r="AE42" s="182" t="s">
        <v>28</v>
      </c>
      <c r="AF42" s="183"/>
    </row>
    <row r="43" spans="3:32" x14ac:dyDescent="0.25">
      <c r="C43" s="134" t="s">
        <v>62</v>
      </c>
      <c r="D43" s="132" t="s">
        <v>2</v>
      </c>
      <c r="E43" s="132" t="s">
        <v>63</v>
      </c>
      <c r="F43" s="132"/>
      <c r="G43" s="132"/>
      <c r="H43" s="132" t="s">
        <v>37</v>
      </c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3"/>
      <c r="X43" s="189" t="s">
        <v>95</v>
      </c>
      <c r="Y43" s="180" t="s">
        <v>2</v>
      </c>
      <c r="Z43" s="180" t="s">
        <v>258</v>
      </c>
      <c r="AA43" s="180"/>
      <c r="AB43" s="180"/>
      <c r="AC43" s="180"/>
      <c r="AD43" s="180"/>
      <c r="AE43" s="182"/>
      <c r="AF43" s="183"/>
    </row>
    <row r="44" spans="3:32" x14ac:dyDescent="0.25">
      <c r="C44" s="134"/>
      <c r="D44" s="132"/>
      <c r="E44" s="132"/>
      <c r="F44" s="132"/>
      <c r="G44" s="132"/>
      <c r="H44" s="132"/>
      <c r="I44" s="132"/>
      <c r="J44" s="132"/>
      <c r="K44" s="132"/>
      <c r="L44" s="132"/>
      <c r="M44" s="132" t="s">
        <v>5</v>
      </c>
      <c r="N44" s="132"/>
      <c r="O44" s="132"/>
      <c r="P44" s="132"/>
      <c r="Q44" s="132"/>
      <c r="R44" s="132"/>
      <c r="S44" s="132"/>
      <c r="T44" s="132"/>
      <c r="U44" s="132"/>
      <c r="V44" s="133"/>
      <c r="X44" s="189" t="s">
        <v>259</v>
      </c>
      <c r="Y44" s="180" t="s">
        <v>2</v>
      </c>
      <c r="Z44" s="180" t="s">
        <v>260</v>
      </c>
      <c r="AA44" s="180"/>
      <c r="AB44" s="180"/>
      <c r="AC44" s="180"/>
      <c r="AD44" s="180"/>
      <c r="AE44" s="182"/>
      <c r="AF44" s="183"/>
    </row>
    <row r="45" spans="3:32" x14ac:dyDescent="0.25">
      <c r="C45" s="134"/>
      <c r="D45" s="132"/>
      <c r="E45" s="272" t="s">
        <v>9</v>
      </c>
      <c r="F45" s="27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3"/>
      <c r="X45" s="189" t="s">
        <v>108</v>
      </c>
      <c r="Y45" s="180" t="s">
        <v>2</v>
      </c>
      <c r="Z45" s="180" t="s">
        <v>261</v>
      </c>
      <c r="AA45" s="180"/>
      <c r="AB45" s="180"/>
      <c r="AC45" s="180"/>
      <c r="AD45" s="180"/>
      <c r="AE45" s="182" t="s">
        <v>28</v>
      </c>
      <c r="AF45" s="183"/>
    </row>
    <row r="46" spans="3:32" x14ac:dyDescent="0.25">
      <c r="C46" s="134" t="s">
        <v>82</v>
      </c>
      <c r="D46" s="132" t="s">
        <v>2</v>
      </c>
      <c r="E46" s="132"/>
      <c r="F46" s="132"/>
      <c r="G46" s="132" t="s">
        <v>40</v>
      </c>
      <c r="H46" s="132" t="s">
        <v>4</v>
      </c>
      <c r="I46" s="132" t="s">
        <v>40</v>
      </c>
      <c r="J46" s="132" t="s">
        <v>61</v>
      </c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3"/>
      <c r="X46" s="189" t="s">
        <v>106</v>
      </c>
      <c r="Y46" s="180" t="s">
        <v>2</v>
      </c>
      <c r="Z46" s="180" t="s">
        <v>262</v>
      </c>
      <c r="AA46" s="180"/>
      <c r="AB46" s="180"/>
      <c r="AC46" s="180"/>
      <c r="AD46" s="180"/>
      <c r="AE46" s="182" t="s">
        <v>101</v>
      </c>
      <c r="AF46" s="183"/>
    </row>
    <row r="47" spans="3:32" ht="15.75" thickBot="1" x14ac:dyDescent="0.3">
      <c r="C47" s="134"/>
      <c r="D47" s="132"/>
      <c r="E47" s="271">
        <v>6</v>
      </c>
      <c r="F47" s="271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3"/>
      <c r="X47" s="190"/>
      <c r="Y47" s="187"/>
      <c r="Z47" s="187"/>
      <c r="AA47" s="187"/>
      <c r="AB47" s="187"/>
      <c r="AC47" s="187"/>
      <c r="AD47" s="187"/>
      <c r="AE47" s="187"/>
      <c r="AF47" s="191"/>
    </row>
    <row r="48" spans="3:32" x14ac:dyDescent="0.25">
      <c r="C48" s="134" t="s">
        <v>192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3"/>
    </row>
    <row r="49" spans="3:22" x14ac:dyDescent="0.25">
      <c r="C49" s="134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3"/>
    </row>
    <row r="50" spans="3:22" x14ac:dyDescent="0.25">
      <c r="C50" s="134" t="s">
        <v>75</v>
      </c>
      <c r="D50" s="122" t="s">
        <v>52</v>
      </c>
      <c r="E50" s="273" t="s">
        <v>69</v>
      </c>
      <c r="F50" s="274"/>
      <c r="G50" s="274" t="s">
        <v>82</v>
      </c>
      <c r="H50" s="274"/>
      <c r="I50" s="132" t="s">
        <v>193</v>
      </c>
      <c r="J50" s="132"/>
      <c r="K50" s="132"/>
      <c r="L50" s="135" t="s">
        <v>69</v>
      </c>
      <c r="M50" s="132" t="s">
        <v>2</v>
      </c>
      <c r="N50" s="120">
        <v>0.75</v>
      </c>
      <c r="O50" s="132"/>
      <c r="P50" s="132"/>
      <c r="Q50" s="132"/>
      <c r="R50" s="132"/>
      <c r="S50" s="132"/>
      <c r="T50" s="132"/>
      <c r="U50" s="132"/>
      <c r="V50" s="133"/>
    </row>
    <row r="51" spans="3:22" ht="15.75" thickBot="1" x14ac:dyDescent="0.3">
      <c r="C51" s="136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8"/>
    </row>
    <row r="55" spans="3:22" ht="15.75" thickBot="1" x14ac:dyDescent="0.3"/>
    <row r="56" spans="3:22" x14ac:dyDescent="0.25">
      <c r="C56" s="146" t="s">
        <v>170</v>
      </c>
      <c r="D56" s="129"/>
      <c r="E56" s="129"/>
      <c r="F56" s="129"/>
      <c r="G56" s="129"/>
      <c r="H56" s="129"/>
      <c r="I56" s="108"/>
      <c r="J56" s="108"/>
      <c r="K56" s="108"/>
      <c r="L56" s="108"/>
      <c r="M56" s="109"/>
      <c r="N56" s="108"/>
      <c r="O56" s="108"/>
      <c r="P56" s="108"/>
      <c r="Q56" s="108"/>
      <c r="R56" s="108"/>
      <c r="S56" s="109"/>
      <c r="T56" s="108"/>
      <c r="U56" s="108"/>
      <c r="V56" s="110"/>
    </row>
    <row r="57" spans="3:22" x14ac:dyDescent="0.25">
      <c r="C57" s="111"/>
      <c r="D57" s="112"/>
      <c r="E57" s="112"/>
      <c r="F57" s="112"/>
      <c r="G57" s="112"/>
      <c r="H57" s="113"/>
      <c r="I57" s="112"/>
      <c r="J57" s="112"/>
      <c r="K57" s="112"/>
      <c r="L57" s="112"/>
      <c r="M57" s="113"/>
      <c r="N57" s="112"/>
      <c r="O57" s="112"/>
      <c r="P57" s="112"/>
      <c r="Q57" s="112"/>
      <c r="R57" s="112"/>
      <c r="S57" s="113"/>
      <c r="T57" s="112"/>
      <c r="U57" s="112"/>
      <c r="V57" s="114"/>
    </row>
    <row r="58" spans="3:22" x14ac:dyDescent="0.25">
      <c r="C58" s="111"/>
      <c r="D58" s="112"/>
      <c r="E58" s="112"/>
      <c r="F58" s="112"/>
      <c r="G58" s="113"/>
      <c r="H58" s="113"/>
      <c r="I58" s="113"/>
      <c r="J58" s="113"/>
      <c r="K58" s="113"/>
      <c r="L58" s="113"/>
      <c r="M58" s="113"/>
      <c r="N58" s="113"/>
      <c r="O58" s="112"/>
      <c r="P58" s="112"/>
      <c r="Q58" s="113"/>
      <c r="R58" s="122" t="s">
        <v>64</v>
      </c>
      <c r="S58" s="112"/>
      <c r="T58" s="271" t="s">
        <v>37</v>
      </c>
      <c r="U58" s="271"/>
      <c r="V58" s="142" t="s">
        <v>63</v>
      </c>
    </row>
    <row r="59" spans="3:22" ht="17.25" x14ac:dyDescent="0.25">
      <c r="C59" s="134" t="s">
        <v>75</v>
      </c>
      <c r="D59" s="113" t="s">
        <v>2</v>
      </c>
      <c r="E59" s="139" t="s">
        <v>4</v>
      </c>
      <c r="F59" s="140">
        <v>2</v>
      </c>
      <c r="G59" s="113" t="s">
        <v>54</v>
      </c>
      <c r="H59" s="113" t="s">
        <v>3</v>
      </c>
      <c r="I59" s="113" t="s">
        <v>37</v>
      </c>
      <c r="J59" s="113" t="s">
        <v>61</v>
      </c>
      <c r="K59" s="113"/>
      <c r="L59" s="113" t="s">
        <v>6</v>
      </c>
      <c r="M59" s="113" t="s">
        <v>37</v>
      </c>
      <c r="N59" s="120" t="s">
        <v>61</v>
      </c>
      <c r="O59" s="120" t="s">
        <v>40</v>
      </c>
      <c r="P59" s="113"/>
      <c r="Q59" s="113"/>
      <c r="R59" s="113"/>
      <c r="S59" s="112"/>
      <c r="T59" s="112"/>
      <c r="U59" s="112"/>
      <c r="V59" s="114"/>
    </row>
    <row r="60" spans="3:22" x14ac:dyDescent="0.25">
      <c r="C60" s="111"/>
      <c r="D60" s="112"/>
      <c r="E60" s="112"/>
      <c r="F60" s="112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2"/>
      <c r="R60" s="113"/>
      <c r="S60" s="112"/>
      <c r="T60" s="271">
        <v>2</v>
      </c>
      <c r="U60" s="271"/>
      <c r="V60" s="114"/>
    </row>
    <row r="61" spans="3:22" x14ac:dyDescent="0.25">
      <c r="C61" s="111"/>
      <c r="D61" s="112"/>
      <c r="E61" s="112"/>
      <c r="F61" s="112"/>
      <c r="G61" s="112"/>
      <c r="H61" s="113"/>
      <c r="I61" s="112"/>
      <c r="J61" s="112"/>
      <c r="K61" s="112"/>
      <c r="L61" s="112"/>
      <c r="M61" s="113"/>
      <c r="N61" s="112"/>
      <c r="O61" s="112"/>
      <c r="P61" s="112"/>
      <c r="Q61" s="112"/>
      <c r="R61" s="112"/>
      <c r="S61" s="113"/>
      <c r="T61" s="112"/>
      <c r="U61" s="112"/>
      <c r="V61" s="114"/>
    </row>
    <row r="62" spans="3:22" x14ac:dyDescent="0.25">
      <c r="C62" s="111" t="s">
        <v>194</v>
      </c>
      <c r="D62" s="112"/>
      <c r="E62" s="112"/>
      <c r="F62" s="112"/>
      <c r="G62" s="112"/>
      <c r="H62" s="113"/>
      <c r="I62" s="112"/>
      <c r="J62" s="112"/>
      <c r="K62" s="112"/>
      <c r="L62" s="112"/>
      <c r="M62" s="113"/>
      <c r="N62" s="112"/>
      <c r="O62" s="112"/>
      <c r="P62" s="112"/>
      <c r="Q62" s="112"/>
      <c r="R62" s="112"/>
      <c r="S62" s="113"/>
      <c r="T62" s="112"/>
      <c r="U62" s="112"/>
      <c r="V62" s="114"/>
    </row>
    <row r="63" spans="3:22" x14ac:dyDescent="0.25">
      <c r="C63" s="111"/>
      <c r="D63" s="112"/>
      <c r="E63" s="112"/>
      <c r="F63" s="112"/>
      <c r="G63" s="112"/>
      <c r="H63" s="113"/>
      <c r="I63" s="112"/>
      <c r="J63" s="112"/>
      <c r="K63" s="112"/>
      <c r="L63" s="112"/>
      <c r="M63" s="113"/>
      <c r="N63" s="112"/>
      <c r="O63" s="112"/>
      <c r="P63" s="112"/>
      <c r="Q63" s="112"/>
      <c r="R63" s="112"/>
      <c r="S63" s="113"/>
      <c r="T63" s="112"/>
      <c r="U63" s="112"/>
      <c r="V63" s="114"/>
    </row>
    <row r="64" spans="3:22" x14ac:dyDescent="0.25">
      <c r="C64" s="111"/>
      <c r="D64" s="112"/>
      <c r="E64" s="112"/>
      <c r="F64" s="112"/>
      <c r="G64" s="112"/>
      <c r="H64" s="113"/>
      <c r="I64" s="112"/>
      <c r="J64" s="112"/>
      <c r="K64" s="112"/>
      <c r="L64" s="112"/>
      <c r="M64" s="112"/>
      <c r="N64" s="113"/>
      <c r="O64" s="112"/>
      <c r="P64" s="112"/>
      <c r="Q64" s="112"/>
      <c r="R64" s="112"/>
      <c r="S64" s="113"/>
      <c r="T64" s="112"/>
      <c r="U64" s="112"/>
      <c r="V64" s="114"/>
    </row>
    <row r="65" spans="3:22" x14ac:dyDescent="0.25">
      <c r="C65" s="111"/>
      <c r="D65" s="112"/>
      <c r="E65" s="112"/>
      <c r="F65" s="112"/>
      <c r="G65" s="113">
        <v>2</v>
      </c>
      <c r="H65" s="113"/>
      <c r="I65" s="112"/>
      <c r="J65" s="271" t="s">
        <v>9</v>
      </c>
      <c r="K65" s="271"/>
      <c r="L65" s="271"/>
      <c r="M65" s="113" t="s">
        <v>79</v>
      </c>
      <c r="N65" s="113" t="s">
        <v>61</v>
      </c>
      <c r="O65" s="112"/>
      <c r="P65" s="112"/>
      <c r="Q65" s="112"/>
      <c r="R65" s="112"/>
      <c r="S65" s="113"/>
      <c r="T65" s="112"/>
      <c r="U65" s="112"/>
      <c r="V65" s="114"/>
    </row>
    <row r="66" spans="3:22" x14ac:dyDescent="0.25">
      <c r="C66" s="134" t="s">
        <v>84</v>
      </c>
      <c r="D66" s="113" t="s">
        <v>2</v>
      </c>
      <c r="E66" s="113">
        <v>1</v>
      </c>
      <c r="F66" s="113" t="s">
        <v>37</v>
      </c>
      <c r="G66" s="113"/>
      <c r="H66" s="113"/>
      <c r="I66" s="113" t="s">
        <v>40</v>
      </c>
      <c r="J66" s="113"/>
      <c r="K66" s="113"/>
      <c r="L66" s="113"/>
      <c r="M66" s="112"/>
      <c r="N66" s="113"/>
      <c r="O66" s="112"/>
      <c r="P66" s="112"/>
      <c r="Q66" s="112"/>
      <c r="R66" s="112"/>
      <c r="S66" s="113"/>
      <c r="T66" s="112"/>
      <c r="U66" s="112"/>
      <c r="V66" s="114"/>
    </row>
    <row r="67" spans="3:22" x14ac:dyDescent="0.25">
      <c r="C67" s="134"/>
      <c r="D67" s="113"/>
      <c r="E67" s="113"/>
      <c r="F67" s="113"/>
      <c r="G67" s="122" t="s">
        <v>76</v>
      </c>
      <c r="H67" s="113"/>
      <c r="I67" s="113"/>
      <c r="J67" s="113"/>
      <c r="K67" s="112"/>
      <c r="L67" s="113"/>
      <c r="M67" s="113">
        <v>6</v>
      </c>
      <c r="N67" s="113"/>
      <c r="O67" s="112"/>
      <c r="P67" s="112"/>
      <c r="Q67" s="112"/>
      <c r="R67" s="112"/>
      <c r="S67" s="113"/>
      <c r="T67" s="112"/>
      <c r="U67" s="112"/>
      <c r="V67" s="114"/>
    </row>
    <row r="68" spans="3:22" x14ac:dyDescent="0.25">
      <c r="C68" s="111"/>
      <c r="D68" s="112"/>
      <c r="E68" s="112"/>
      <c r="F68" s="112"/>
      <c r="G68" s="112"/>
      <c r="H68" s="113"/>
      <c r="I68" s="112"/>
      <c r="J68" s="112"/>
      <c r="K68" s="112"/>
      <c r="L68" s="112"/>
      <c r="M68" s="113"/>
      <c r="N68" s="112"/>
      <c r="O68" s="112"/>
      <c r="P68" s="112"/>
      <c r="Q68" s="112"/>
      <c r="R68" s="112"/>
      <c r="S68" s="113"/>
      <c r="T68" s="112"/>
      <c r="U68" s="112"/>
      <c r="V68" s="114"/>
    </row>
    <row r="69" spans="3:22" x14ac:dyDescent="0.25">
      <c r="C69" s="111"/>
      <c r="D69" s="112"/>
      <c r="E69" s="112"/>
      <c r="F69" s="112"/>
      <c r="G69" s="112"/>
      <c r="H69" s="122" t="s">
        <v>86</v>
      </c>
      <c r="I69" s="113" t="s">
        <v>61</v>
      </c>
      <c r="J69" s="112"/>
      <c r="K69" s="112"/>
      <c r="L69" s="271" t="s">
        <v>9</v>
      </c>
      <c r="M69" s="271"/>
      <c r="N69" s="113" t="s">
        <v>79</v>
      </c>
      <c r="O69" s="271" t="s">
        <v>61</v>
      </c>
      <c r="P69" s="271"/>
      <c r="Q69" s="112"/>
      <c r="R69" s="112"/>
      <c r="S69" s="113"/>
      <c r="T69" s="112"/>
      <c r="U69" s="112"/>
      <c r="V69" s="114"/>
    </row>
    <row r="70" spans="3:22" x14ac:dyDescent="0.25">
      <c r="C70" s="134" t="s">
        <v>85</v>
      </c>
      <c r="D70" s="113" t="s">
        <v>2</v>
      </c>
      <c r="E70" s="113">
        <v>2</v>
      </c>
      <c r="F70" s="113" t="s">
        <v>37</v>
      </c>
      <c r="G70" s="113"/>
      <c r="H70" s="112"/>
      <c r="I70" s="112"/>
      <c r="J70" s="112"/>
      <c r="K70" s="113" t="s">
        <v>40</v>
      </c>
      <c r="L70" s="113"/>
      <c r="M70" s="113"/>
      <c r="N70" s="113"/>
      <c r="O70" s="113"/>
      <c r="P70" s="112"/>
      <c r="Q70" s="112"/>
      <c r="R70" s="112"/>
      <c r="S70" s="113"/>
      <c r="T70" s="112"/>
      <c r="U70" s="112"/>
      <c r="V70" s="114"/>
    </row>
    <row r="71" spans="3:22" x14ac:dyDescent="0.25">
      <c r="C71" s="134"/>
      <c r="D71" s="113"/>
      <c r="E71" s="113"/>
      <c r="F71" s="113"/>
      <c r="G71" s="112"/>
      <c r="H71" s="272" t="s">
        <v>79</v>
      </c>
      <c r="I71" s="272"/>
      <c r="J71" s="112"/>
      <c r="K71" s="112"/>
      <c r="L71" s="113"/>
      <c r="M71" s="113"/>
      <c r="N71" s="113">
        <v>12</v>
      </c>
      <c r="O71" s="113"/>
      <c r="P71" s="112"/>
      <c r="Q71" s="112"/>
      <c r="R71" s="112"/>
      <c r="S71" s="113"/>
      <c r="T71" s="112"/>
      <c r="U71" s="112"/>
      <c r="V71" s="114"/>
    </row>
    <row r="72" spans="3:22" x14ac:dyDescent="0.25">
      <c r="C72" s="111"/>
      <c r="D72" s="112"/>
      <c r="E72" s="112"/>
      <c r="F72" s="112"/>
      <c r="G72" s="112"/>
      <c r="H72" s="113"/>
      <c r="I72" s="112"/>
      <c r="J72" s="112"/>
      <c r="K72" s="112"/>
      <c r="L72" s="112"/>
      <c r="M72" s="113"/>
      <c r="N72" s="112"/>
      <c r="O72" s="112"/>
      <c r="P72" s="112"/>
      <c r="Q72" s="112"/>
      <c r="R72" s="112"/>
      <c r="S72" s="113"/>
      <c r="T72" s="112"/>
      <c r="U72" s="112"/>
      <c r="V72" s="114"/>
    </row>
    <row r="73" spans="3:22" x14ac:dyDescent="0.25">
      <c r="C73" s="134"/>
      <c r="D73" s="113"/>
      <c r="E73" s="113">
        <v>1</v>
      </c>
      <c r="F73" s="112"/>
      <c r="G73" s="112"/>
      <c r="H73" s="113"/>
      <c r="I73" s="113"/>
      <c r="J73" s="113"/>
      <c r="K73" s="113"/>
      <c r="L73" s="112"/>
      <c r="M73" s="113"/>
      <c r="N73" s="112"/>
      <c r="O73" s="112"/>
      <c r="P73" s="112"/>
      <c r="Q73" s="112"/>
      <c r="R73" s="112"/>
      <c r="S73" s="113"/>
      <c r="T73" s="112"/>
      <c r="U73" s="112"/>
      <c r="V73" s="114"/>
    </row>
    <row r="74" spans="3:22" x14ac:dyDescent="0.25">
      <c r="C74" s="134" t="s">
        <v>88</v>
      </c>
      <c r="D74" s="113" t="s">
        <v>2</v>
      </c>
      <c r="E74" s="141"/>
      <c r="F74" s="112"/>
      <c r="G74" s="113" t="s">
        <v>40</v>
      </c>
      <c r="H74" s="113"/>
      <c r="I74" s="113" t="s">
        <v>9</v>
      </c>
      <c r="J74" s="271" t="s">
        <v>79</v>
      </c>
      <c r="K74" s="271"/>
      <c r="L74" s="113" t="s">
        <v>61</v>
      </c>
      <c r="M74" s="113"/>
      <c r="N74" s="112"/>
      <c r="O74" s="112"/>
      <c r="P74" s="112"/>
      <c r="Q74" s="112"/>
      <c r="R74" s="112"/>
      <c r="S74" s="113"/>
      <c r="T74" s="112"/>
      <c r="U74" s="112"/>
      <c r="V74" s="114"/>
    </row>
    <row r="75" spans="3:22" x14ac:dyDescent="0.25">
      <c r="C75" s="134"/>
      <c r="D75" s="113"/>
      <c r="E75" s="113">
        <v>3</v>
      </c>
      <c r="F75" s="113"/>
      <c r="G75" s="113"/>
      <c r="H75" s="113"/>
      <c r="I75" s="113"/>
      <c r="J75" s="112"/>
      <c r="K75" s="112"/>
      <c r="L75" s="112"/>
      <c r="M75" s="113"/>
      <c r="N75" s="112"/>
      <c r="O75" s="112"/>
      <c r="P75" s="112"/>
      <c r="Q75" s="112"/>
      <c r="R75" s="112"/>
      <c r="S75" s="113"/>
      <c r="T75" s="112"/>
      <c r="U75" s="112"/>
      <c r="V75" s="114"/>
    </row>
    <row r="76" spans="3:22" x14ac:dyDescent="0.25">
      <c r="C76" s="134" t="s">
        <v>192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12"/>
      <c r="P76" s="112"/>
      <c r="Q76" s="112"/>
      <c r="R76" s="112"/>
      <c r="S76" s="113"/>
      <c r="T76" s="112"/>
      <c r="U76" s="112"/>
      <c r="V76" s="114"/>
    </row>
    <row r="77" spans="3:22" x14ac:dyDescent="0.25">
      <c r="C77" s="134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12"/>
      <c r="P77" s="112"/>
      <c r="Q77" s="112"/>
      <c r="R77" s="112"/>
      <c r="S77" s="113"/>
      <c r="T77" s="112"/>
      <c r="U77" s="112"/>
      <c r="V77" s="114"/>
    </row>
    <row r="78" spans="3:22" ht="15.75" thickBot="1" x14ac:dyDescent="0.3">
      <c r="C78" s="143" t="s">
        <v>75</v>
      </c>
      <c r="D78" s="118" t="s">
        <v>52</v>
      </c>
      <c r="E78" s="144" t="s">
        <v>69</v>
      </c>
      <c r="F78" s="137"/>
      <c r="G78" s="137" t="s">
        <v>82</v>
      </c>
      <c r="H78" s="137"/>
      <c r="I78" s="137" t="s">
        <v>193</v>
      </c>
      <c r="J78" s="137"/>
      <c r="K78" s="137"/>
      <c r="L78" s="144" t="s">
        <v>69</v>
      </c>
      <c r="M78" s="137" t="s">
        <v>2</v>
      </c>
      <c r="N78" s="126">
        <v>0.75</v>
      </c>
      <c r="O78" s="116"/>
      <c r="P78" s="116"/>
      <c r="Q78" s="116"/>
      <c r="R78" s="116"/>
      <c r="S78" s="117"/>
      <c r="T78" s="116"/>
      <c r="U78" s="116"/>
      <c r="V78" s="119"/>
    </row>
    <row r="82" spans="3:22" ht="15.75" thickBot="1" x14ac:dyDescent="0.3"/>
    <row r="83" spans="3:22" x14ac:dyDescent="0.25">
      <c r="C83" s="149" t="s">
        <v>195</v>
      </c>
      <c r="D83" s="108"/>
      <c r="E83" s="108"/>
      <c r="F83" s="108"/>
      <c r="G83" s="108"/>
      <c r="H83" s="109"/>
      <c r="I83" s="108"/>
      <c r="J83" s="108"/>
      <c r="K83" s="108"/>
      <c r="L83" s="108"/>
      <c r="M83" s="109"/>
      <c r="N83" s="108"/>
      <c r="O83" s="108"/>
      <c r="P83" s="108"/>
      <c r="Q83" s="108"/>
      <c r="R83" s="108"/>
      <c r="S83" s="109"/>
      <c r="T83" s="108"/>
      <c r="U83" s="108"/>
      <c r="V83" s="110"/>
    </row>
    <row r="84" spans="3:22" x14ac:dyDescent="0.25">
      <c r="C84" s="111"/>
      <c r="D84" s="112"/>
      <c r="E84" s="112"/>
      <c r="F84" s="112"/>
      <c r="G84" s="112"/>
      <c r="H84" s="113"/>
      <c r="I84" s="112"/>
      <c r="J84" s="112"/>
      <c r="K84" s="112"/>
      <c r="L84" s="112"/>
      <c r="M84" s="113"/>
      <c r="N84" s="112"/>
      <c r="O84" s="112"/>
      <c r="P84" s="112"/>
      <c r="Q84" s="112"/>
      <c r="R84" s="112"/>
      <c r="S84" s="113"/>
      <c r="T84" s="112"/>
      <c r="U84" s="112"/>
      <c r="V84" s="114"/>
    </row>
    <row r="85" spans="3:22" x14ac:dyDescent="0.25">
      <c r="C85" s="111" t="s">
        <v>196</v>
      </c>
      <c r="D85" s="112" t="s">
        <v>56</v>
      </c>
      <c r="E85" s="112" t="s">
        <v>2</v>
      </c>
      <c r="F85" s="112"/>
      <c r="G85" s="271">
        <v>75</v>
      </c>
      <c r="H85" s="271"/>
      <c r="I85" s="112" t="s">
        <v>37</v>
      </c>
      <c r="J85" s="271" t="s">
        <v>17</v>
      </c>
      <c r="K85" s="271"/>
      <c r="L85" s="112" t="s">
        <v>37</v>
      </c>
      <c r="M85" s="271" t="s">
        <v>57</v>
      </c>
      <c r="N85" s="271"/>
      <c r="O85" s="112"/>
      <c r="P85" s="112"/>
      <c r="Q85" s="112"/>
      <c r="R85" s="112"/>
      <c r="S85" s="113"/>
      <c r="T85" s="112"/>
      <c r="U85" s="112"/>
      <c r="V85" s="114"/>
    </row>
    <row r="86" spans="3:22" x14ac:dyDescent="0.25">
      <c r="C86" s="111"/>
      <c r="D86" s="112" t="s">
        <v>197</v>
      </c>
      <c r="E86" s="112"/>
      <c r="F86" s="112"/>
      <c r="G86" s="112"/>
      <c r="H86" s="113"/>
      <c r="I86" s="112"/>
      <c r="J86" s="112"/>
      <c r="K86" s="112"/>
      <c r="L86" s="112"/>
      <c r="M86" s="113"/>
      <c r="N86" s="112"/>
      <c r="O86" s="112"/>
      <c r="P86" s="112"/>
      <c r="Q86" s="112"/>
      <c r="R86" s="112"/>
      <c r="S86" s="113"/>
      <c r="T86" s="112"/>
      <c r="U86" s="112"/>
      <c r="V86" s="114"/>
    </row>
    <row r="87" spans="3:22" x14ac:dyDescent="0.25">
      <c r="C87" s="111"/>
      <c r="D87" s="112" t="s">
        <v>61</v>
      </c>
      <c r="E87" s="112" t="s">
        <v>2</v>
      </c>
      <c r="F87" s="112"/>
      <c r="G87" s="271" t="s">
        <v>6</v>
      </c>
      <c r="H87" s="271"/>
      <c r="I87" s="113" t="s">
        <v>54</v>
      </c>
      <c r="J87" s="271" t="s">
        <v>56</v>
      </c>
      <c r="K87" s="271"/>
      <c r="L87" s="112"/>
      <c r="M87" s="113"/>
      <c r="N87" s="112"/>
      <c r="O87" s="112"/>
      <c r="P87" s="112"/>
      <c r="Q87" s="112"/>
      <c r="R87" s="112"/>
      <c r="S87" s="113"/>
      <c r="T87" s="112"/>
      <c r="U87" s="112"/>
      <c r="V87" s="114"/>
    </row>
    <row r="88" spans="3:22" x14ac:dyDescent="0.25">
      <c r="C88" s="111"/>
      <c r="D88" s="112"/>
      <c r="E88" s="112"/>
      <c r="F88" s="112"/>
      <c r="G88" s="112"/>
      <c r="H88" s="113"/>
      <c r="I88" s="112"/>
      <c r="J88" s="112"/>
      <c r="K88" s="112"/>
      <c r="L88" s="112"/>
      <c r="M88" s="113"/>
      <c r="N88" s="112"/>
      <c r="O88" s="112"/>
      <c r="P88" s="112"/>
      <c r="Q88" s="112"/>
      <c r="R88" s="112"/>
      <c r="S88" s="113"/>
      <c r="T88" s="112"/>
      <c r="U88" s="112"/>
      <c r="V88" s="114"/>
    </row>
    <row r="89" spans="3:22" x14ac:dyDescent="0.25">
      <c r="C89" s="111" t="s">
        <v>198</v>
      </c>
      <c r="D89" s="150" t="s">
        <v>93</v>
      </c>
      <c r="E89" s="113" t="s">
        <v>2</v>
      </c>
      <c r="F89" s="272" t="s">
        <v>63</v>
      </c>
      <c r="G89" s="272"/>
      <c r="H89" s="272"/>
      <c r="I89" s="113" t="s">
        <v>37</v>
      </c>
      <c r="J89" s="112"/>
      <c r="K89" s="113" t="s">
        <v>4</v>
      </c>
      <c r="L89" s="113" t="s">
        <v>54</v>
      </c>
      <c r="M89" s="113" t="s">
        <v>40</v>
      </c>
      <c r="N89" s="113" t="s">
        <v>40</v>
      </c>
      <c r="O89" s="135" t="s">
        <v>64</v>
      </c>
      <c r="P89" s="135"/>
      <c r="Q89" s="112"/>
      <c r="R89" s="112" t="s">
        <v>54</v>
      </c>
      <c r="S89" s="272" t="s">
        <v>63</v>
      </c>
      <c r="T89" s="272"/>
      <c r="U89" s="272"/>
      <c r="V89" s="151" t="s">
        <v>4</v>
      </c>
    </row>
    <row r="90" spans="3:22" x14ac:dyDescent="0.25">
      <c r="C90" s="111"/>
      <c r="D90" s="112"/>
      <c r="E90" s="112"/>
      <c r="F90" s="112"/>
      <c r="G90" s="112"/>
      <c r="H90" s="113"/>
      <c r="I90" s="112"/>
      <c r="J90" s="112"/>
      <c r="K90" s="112"/>
      <c r="L90" s="112"/>
      <c r="M90" s="113"/>
      <c r="N90" s="112"/>
      <c r="O90" s="112"/>
      <c r="P90" s="112"/>
      <c r="Q90" s="112"/>
      <c r="R90" s="112"/>
      <c r="S90" s="113"/>
      <c r="T90" s="112"/>
      <c r="U90" s="112"/>
      <c r="V90" s="114"/>
    </row>
    <row r="91" spans="3:22" x14ac:dyDescent="0.25">
      <c r="C91" s="111"/>
      <c r="D91" s="112"/>
      <c r="E91" s="112"/>
      <c r="F91" s="112"/>
      <c r="G91" s="112"/>
      <c r="H91" s="113"/>
      <c r="I91" s="112"/>
      <c r="J91" s="112"/>
      <c r="K91" s="112"/>
      <c r="L91" s="112"/>
      <c r="M91" s="112"/>
      <c r="N91" s="122" t="s">
        <v>64</v>
      </c>
      <c r="O91" s="113" t="s">
        <v>54</v>
      </c>
      <c r="P91" s="272" t="s">
        <v>93</v>
      </c>
      <c r="Q91" s="272"/>
      <c r="R91" s="272"/>
      <c r="S91" s="112"/>
      <c r="T91" s="112"/>
      <c r="U91" s="112"/>
      <c r="V91" s="114"/>
    </row>
    <row r="92" spans="3:22" ht="17.25" x14ac:dyDescent="0.25">
      <c r="C92" s="111" t="s">
        <v>199</v>
      </c>
      <c r="D92" s="120" t="s">
        <v>95</v>
      </c>
      <c r="E92" s="113" t="s">
        <v>2</v>
      </c>
      <c r="F92" s="271">
        <v>0.5</v>
      </c>
      <c r="G92" s="271"/>
      <c r="H92" s="272" t="s">
        <v>93</v>
      </c>
      <c r="I92" s="272"/>
      <c r="J92" s="113" t="s">
        <v>40</v>
      </c>
      <c r="K92" s="140">
        <v>2</v>
      </c>
      <c r="L92" s="271" t="s">
        <v>37</v>
      </c>
      <c r="M92" s="271"/>
      <c r="N92" s="113"/>
      <c r="O92" s="113"/>
      <c r="P92" s="113"/>
      <c r="Q92" s="112"/>
      <c r="R92" s="112"/>
      <c r="S92" s="113" t="s">
        <v>40</v>
      </c>
      <c r="T92" s="152">
        <v>2</v>
      </c>
      <c r="U92" s="112"/>
      <c r="V92" s="114"/>
    </row>
    <row r="93" spans="3:22" x14ac:dyDescent="0.25">
      <c r="C93" s="111"/>
      <c r="D93" s="113"/>
      <c r="E93" s="112"/>
      <c r="F93" s="112"/>
      <c r="G93" s="112"/>
      <c r="H93" s="113"/>
      <c r="I93" s="112"/>
      <c r="J93" s="112"/>
      <c r="K93" s="112"/>
      <c r="L93" s="112"/>
      <c r="M93" s="112"/>
      <c r="N93" s="112"/>
      <c r="O93" s="113">
        <v>3</v>
      </c>
      <c r="P93" s="112"/>
      <c r="Q93" s="112"/>
      <c r="R93" s="112"/>
      <c r="S93" s="112"/>
      <c r="T93" s="112"/>
      <c r="U93" s="112"/>
      <c r="V93" s="114"/>
    </row>
    <row r="94" spans="3:22" x14ac:dyDescent="0.25">
      <c r="C94" s="111"/>
      <c r="D94" s="113"/>
      <c r="E94" s="112"/>
      <c r="F94" s="112"/>
      <c r="G94" s="112"/>
      <c r="H94" s="113"/>
      <c r="I94" s="113" t="s">
        <v>95</v>
      </c>
      <c r="J94" s="112"/>
      <c r="K94" s="112"/>
      <c r="L94" s="112"/>
      <c r="M94" s="113"/>
      <c r="N94" s="112"/>
      <c r="O94" s="112"/>
      <c r="P94" s="112"/>
      <c r="Q94" s="112"/>
      <c r="R94" s="112"/>
      <c r="S94" s="113"/>
      <c r="T94" s="112"/>
      <c r="U94" s="112"/>
      <c r="V94" s="114"/>
    </row>
    <row r="95" spans="3:22" x14ac:dyDescent="0.25">
      <c r="C95" s="111" t="s">
        <v>200</v>
      </c>
      <c r="D95" s="120" t="s">
        <v>96</v>
      </c>
      <c r="E95" s="113" t="s">
        <v>2</v>
      </c>
      <c r="F95" s="112"/>
      <c r="G95" s="112"/>
      <c r="H95" s="112"/>
      <c r="I95" s="112"/>
      <c r="J95" s="112"/>
      <c r="K95" s="112"/>
      <c r="L95" s="112"/>
      <c r="M95" s="113" t="s">
        <v>201</v>
      </c>
      <c r="N95" s="113" t="s">
        <v>3</v>
      </c>
      <c r="O95" s="112" t="s">
        <v>2</v>
      </c>
      <c r="P95" s="112"/>
      <c r="Q95" s="113">
        <v>1000</v>
      </c>
      <c r="R95" s="112"/>
      <c r="S95" s="113"/>
      <c r="T95" s="112"/>
      <c r="U95" s="112"/>
      <c r="V95" s="114"/>
    </row>
    <row r="96" spans="3:22" ht="17.25" x14ac:dyDescent="0.25">
      <c r="C96" s="111"/>
      <c r="D96" s="112"/>
      <c r="E96" s="112"/>
      <c r="F96" s="112"/>
      <c r="G96" s="122" t="s">
        <v>69</v>
      </c>
      <c r="H96" s="113" t="s">
        <v>40</v>
      </c>
      <c r="I96" s="113" t="s">
        <v>3</v>
      </c>
      <c r="J96" s="113" t="s">
        <v>40</v>
      </c>
      <c r="K96" s="113" t="s">
        <v>61</v>
      </c>
      <c r="L96" s="140">
        <v>2</v>
      </c>
      <c r="M96" s="113"/>
      <c r="N96" s="112"/>
      <c r="O96" s="112"/>
      <c r="P96" s="112"/>
      <c r="Q96" s="112"/>
      <c r="R96" s="112"/>
      <c r="S96" s="113"/>
      <c r="T96" s="112"/>
      <c r="U96" s="112"/>
      <c r="V96" s="114"/>
    </row>
    <row r="97" spans="3:22" x14ac:dyDescent="0.25">
      <c r="C97" s="111"/>
      <c r="D97" s="112"/>
      <c r="E97" s="112"/>
      <c r="F97" s="112"/>
      <c r="G97" s="112"/>
      <c r="H97" s="113"/>
      <c r="I97" s="112"/>
      <c r="J97" s="112"/>
      <c r="K97" s="112"/>
      <c r="L97" s="112"/>
      <c r="M97" s="113"/>
      <c r="N97" s="112"/>
      <c r="O97" s="112"/>
      <c r="P97" s="112"/>
      <c r="Q97" s="112"/>
      <c r="R97" s="112"/>
      <c r="S97" s="113"/>
      <c r="T97" s="112"/>
      <c r="U97" s="112"/>
      <c r="V97" s="114"/>
    </row>
    <row r="98" spans="3:22" x14ac:dyDescent="0.25">
      <c r="C98" s="111"/>
      <c r="D98" s="112"/>
      <c r="E98" s="112"/>
      <c r="F98" s="271">
        <v>382.5</v>
      </c>
      <c r="G98" s="271"/>
      <c r="H98" s="271"/>
      <c r="I98" s="113" t="s">
        <v>40</v>
      </c>
      <c r="J98" s="271">
        <v>0.85</v>
      </c>
      <c r="K98" s="271"/>
      <c r="L98" s="271"/>
      <c r="M98" s="113" t="s">
        <v>40</v>
      </c>
      <c r="N98" s="113">
        <v>600</v>
      </c>
      <c r="O98" s="113" t="s">
        <v>37</v>
      </c>
      <c r="P98" s="113" t="s">
        <v>98</v>
      </c>
      <c r="Q98" s="113" t="s">
        <v>54</v>
      </c>
      <c r="R98" s="271">
        <v>225</v>
      </c>
      <c r="S98" s="271"/>
      <c r="T98" s="113" t="s">
        <v>40</v>
      </c>
      <c r="U98" s="122" t="s">
        <v>99</v>
      </c>
      <c r="V98" s="151" t="s">
        <v>9</v>
      </c>
    </row>
    <row r="99" spans="3:22" x14ac:dyDescent="0.25">
      <c r="C99" s="111" t="s">
        <v>202</v>
      </c>
      <c r="D99" s="120" t="s">
        <v>97</v>
      </c>
      <c r="E99" s="113" t="s">
        <v>2</v>
      </c>
      <c r="F99" s="112"/>
      <c r="G99" s="112"/>
      <c r="H99" s="113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4"/>
    </row>
    <row r="100" spans="3:22" ht="17.25" x14ac:dyDescent="0.25">
      <c r="C100" s="111"/>
      <c r="D100" s="112"/>
      <c r="E100" s="112"/>
      <c r="F100" s="112"/>
      <c r="G100" s="112"/>
      <c r="H100" s="113"/>
      <c r="I100" s="112"/>
      <c r="J100" s="112"/>
      <c r="K100" s="112"/>
      <c r="L100" s="112"/>
      <c r="M100" s="112"/>
      <c r="N100" s="113">
        <v>600</v>
      </c>
      <c r="O100" s="113" t="s">
        <v>37</v>
      </c>
      <c r="P100" s="271" t="s">
        <v>98</v>
      </c>
      <c r="Q100" s="271"/>
      <c r="R100" s="140">
        <v>2</v>
      </c>
      <c r="S100" s="112"/>
      <c r="T100" s="112"/>
      <c r="U100" s="112"/>
      <c r="V100" s="114"/>
    </row>
    <row r="101" spans="3:22" x14ac:dyDescent="0.25">
      <c r="C101" s="111"/>
      <c r="D101" s="112"/>
      <c r="E101" s="112"/>
      <c r="F101" s="112"/>
      <c r="G101" s="112"/>
      <c r="H101" s="113"/>
      <c r="I101" s="112"/>
      <c r="J101" s="112"/>
      <c r="K101" s="112"/>
      <c r="L101" s="112"/>
      <c r="M101" s="113"/>
      <c r="N101" s="112"/>
      <c r="O101" s="112"/>
      <c r="P101" s="112"/>
      <c r="Q101" s="112"/>
      <c r="R101" s="112"/>
      <c r="S101" s="113"/>
      <c r="T101" s="112"/>
      <c r="U101" s="112"/>
      <c r="V101" s="114"/>
    </row>
    <row r="102" spans="3:22" x14ac:dyDescent="0.25">
      <c r="C102" s="111"/>
      <c r="D102" s="113"/>
      <c r="E102" s="113"/>
      <c r="F102" s="113"/>
      <c r="G102" s="113"/>
      <c r="H102" s="113"/>
      <c r="I102" s="113"/>
      <c r="J102" s="271">
        <v>2</v>
      </c>
      <c r="K102" s="271"/>
      <c r="L102" s="271"/>
      <c r="M102" s="113" t="s">
        <v>40</v>
      </c>
      <c r="N102" s="113" t="s">
        <v>96</v>
      </c>
      <c r="O102" s="112"/>
      <c r="P102" s="112"/>
      <c r="Q102" s="112"/>
      <c r="R102" s="112"/>
      <c r="S102" s="113"/>
      <c r="T102" s="112"/>
      <c r="U102" s="112"/>
      <c r="V102" s="114"/>
    </row>
    <row r="103" spans="3:22" x14ac:dyDescent="0.25">
      <c r="C103" s="111" t="s">
        <v>203</v>
      </c>
      <c r="D103" s="120" t="s">
        <v>256</v>
      </c>
      <c r="E103" s="113" t="s">
        <v>2</v>
      </c>
      <c r="F103" s="113">
        <v>1</v>
      </c>
      <c r="G103" s="113" t="s">
        <v>54</v>
      </c>
      <c r="H103" s="113">
        <v>1</v>
      </c>
      <c r="I103" s="113" t="s">
        <v>54</v>
      </c>
      <c r="J103" s="113"/>
      <c r="K103" s="113"/>
      <c r="L103" s="113"/>
      <c r="M103" s="113"/>
      <c r="N103" s="112"/>
      <c r="O103" s="271" t="s">
        <v>61</v>
      </c>
      <c r="P103" s="271"/>
      <c r="Q103" s="112"/>
      <c r="R103" s="112"/>
      <c r="S103" s="113"/>
      <c r="T103" s="112"/>
      <c r="U103" s="112"/>
      <c r="V103" s="114"/>
    </row>
    <row r="104" spans="3:22" x14ac:dyDescent="0.25">
      <c r="C104" s="111"/>
      <c r="D104" s="113"/>
      <c r="E104" s="113"/>
      <c r="F104" s="113"/>
      <c r="G104" s="113"/>
      <c r="H104" s="113"/>
      <c r="I104" s="113"/>
      <c r="J104" s="271">
        <v>0.85</v>
      </c>
      <c r="K104" s="271"/>
      <c r="L104" s="271"/>
      <c r="M104" s="113" t="s">
        <v>40</v>
      </c>
      <c r="N104" s="113" t="s">
        <v>9</v>
      </c>
      <c r="O104" s="112"/>
      <c r="P104" s="112"/>
      <c r="Q104" s="112"/>
      <c r="R104" s="112"/>
      <c r="S104" s="113"/>
      <c r="T104" s="112"/>
      <c r="U104" s="112"/>
      <c r="V104" s="114"/>
    </row>
    <row r="105" spans="3:22" x14ac:dyDescent="0.25">
      <c r="C105" s="111"/>
      <c r="D105" s="112"/>
      <c r="E105" s="112"/>
      <c r="F105" s="112"/>
      <c r="G105" s="112"/>
      <c r="H105" s="113"/>
      <c r="I105" s="112"/>
      <c r="J105" s="112"/>
      <c r="K105" s="112"/>
      <c r="L105" s="112"/>
      <c r="M105" s="113"/>
      <c r="N105" s="112"/>
      <c r="O105" s="112"/>
      <c r="P105" s="112"/>
      <c r="Q105" s="112"/>
      <c r="R105" s="112"/>
      <c r="S105" s="113"/>
      <c r="T105" s="112"/>
      <c r="U105" s="112"/>
      <c r="V105" s="114"/>
    </row>
    <row r="106" spans="3:22" x14ac:dyDescent="0.25">
      <c r="C106" s="111"/>
      <c r="D106" s="112"/>
      <c r="E106" s="112"/>
      <c r="F106" s="271">
        <v>0.85</v>
      </c>
      <c r="G106" s="271"/>
      <c r="H106" s="271"/>
      <c r="I106" s="113" t="s">
        <v>40</v>
      </c>
      <c r="J106" s="271" t="s">
        <v>9</v>
      </c>
      <c r="K106" s="271"/>
      <c r="L106" s="113" t="s">
        <v>40</v>
      </c>
      <c r="M106" s="113" t="s">
        <v>58</v>
      </c>
      <c r="N106" s="113" t="s">
        <v>40</v>
      </c>
      <c r="O106" s="113" t="s">
        <v>3</v>
      </c>
      <c r="P106" s="112"/>
      <c r="Q106" s="112"/>
      <c r="R106" s="112"/>
      <c r="S106" s="113"/>
      <c r="T106" s="112"/>
      <c r="U106" s="112"/>
      <c r="V106" s="114"/>
    </row>
    <row r="107" spans="3:22" x14ac:dyDescent="0.25">
      <c r="C107" s="111" t="s">
        <v>204</v>
      </c>
      <c r="D107" s="120" t="s">
        <v>103</v>
      </c>
      <c r="E107" s="113" t="s">
        <v>2</v>
      </c>
      <c r="F107" s="112"/>
      <c r="G107" s="112"/>
      <c r="H107" s="112"/>
      <c r="I107" s="112"/>
      <c r="J107" s="112"/>
      <c r="K107" s="112"/>
      <c r="L107" s="112"/>
      <c r="M107" s="113"/>
      <c r="N107" s="112"/>
      <c r="O107" s="112"/>
      <c r="P107" s="112"/>
      <c r="Q107" s="112"/>
      <c r="R107" s="112"/>
      <c r="S107" s="113"/>
      <c r="T107" s="112"/>
      <c r="U107" s="112"/>
      <c r="V107" s="114"/>
    </row>
    <row r="108" spans="3:22" x14ac:dyDescent="0.25">
      <c r="C108" s="111"/>
      <c r="D108" s="112"/>
      <c r="E108" s="113"/>
      <c r="F108" s="113"/>
      <c r="G108" s="113"/>
      <c r="H108" s="113"/>
      <c r="I108" s="112"/>
      <c r="J108" s="113"/>
      <c r="K108" s="271" t="s">
        <v>98</v>
      </c>
      <c r="L108" s="271"/>
      <c r="M108" s="113"/>
      <c r="N108" s="112"/>
      <c r="O108" s="112"/>
      <c r="P108" s="112"/>
      <c r="Q108" s="112"/>
      <c r="R108" s="112"/>
      <c r="S108" s="113"/>
      <c r="T108" s="112"/>
      <c r="U108" s="112"/>
      <c r="V108" s="114"/>
    </row>
    <row r="109" spans="3:22" x14ac:dyDescent="0.25">
      <c r="C109" s="111"/>
      <c r="D109" s="112"/>
      <c r="E109" s="112"/>
      <c r="F109" s="112"/>
      <c r="G109" s="112"/>
      <c r="H109" s="113"/>
      <c r="I109" s="112"/>
      <c r="J109" s="112"/>
      <c r="K109" s="112"/>
      <c r="L109" s="112"/>
      <c r="M109" s="113"/>
      <c r="N109" s="112"/>
      <c r="O109" s="112"/>
      <c r="P109" s="112"/>
      <c r="Q109" s="112"/>
      <c r="R109" s="112"/>
      <c r="S109" s="113"/>
      <c r="T109" s="112"/>
      <c r="U109" s="112"/>
      <c r="V109" s="114"/>
    </row>
    <row r="110" spans="3:22" x14ac:dyDescent="0.25">
      <c r="C110" s="111" t="s">
        <v>205</v>
      </c>
      <c r="D110" s="112" t="s">
        <v>9</v>
      </c>
      <c r="E110" s="272" t="s">
        <v>52</v>
      </c>
      <c r="F110" s="271"/>
      <c r="G110" s="112"/>
      <c r="H110" s="271">
        <v>31.36</v>
      </c>
      <c r="I110" s="271"/>
      <c r="J110" s="112"/>
      <c r="K110" s="112" t="s">
        <v>29</v>
      </c>
      <c r="L110" s="112"/>
      <c r="M110" s="113"/>
      <c r="N110" s="112"/>
      <c r="O110" s="112"/>
      <c r="P110" s="112"/>
      <c r="Q110" s="112"/>
      <c r="R110" s="112"/>
      <c r="S110" s="113"/>
      <c r="T110" s="112"/>
      <c r="U110" s="112"/>
      <c r="V110" s="114"/>
    </row>
    <row r="111" spans="3:22" x14ac:dyDescent="0.25">
      <c r="C111" s="111"/>
      <c r="D111" s="112" t="s">
        <v>158</v>
      </c>
      <c r="E111" s="112"/>
      <c r="F111" s="112"/>
      <c r="G111" s="112"/>
      <c r="H111" s="113"/>
      <c r="I111" s="112"/>
      <c r="J111" s="112"/>
      <c r="K111" s="112"/>
      <c r="L111" s="112"/>
      <c r="M111" s="113"/>
      <c r="N111" s="112"/>
      <c r="O111" s="112"/>
      <c r="P111" s="112"/>
      <c r="Q111" s="112"/>
      <c r="R111" s="112"/>
      <c r="S111" s="113"/>
      <c r="T111" s="112"/>
      <c r="U111" s="112"/>
      <c r="V111" s="114"/>
    </row>
    <row r="112" spans="3:22" x14ac:dyDescent="0.25">
      <c r="C112" s="111"/>
      <c r="D112" s="112"/>
      <c r="E112" s="112"/>
      <c r="F112" s="112"/>
      <c r="G112" s="112"/>
      <c r="H112" s="113"/>
      <c r="I112" s="112"/>
      <c r="J112" s="112"/>
      <c r="K112" s="112"/>
      <c r="L112" s="112"/>
      <c r="M112" s="113"/>
      <c r="N112" s="112"/>
      <c r="O112" s="112"/>
      <c r="P112" s="112"/>
      <c r="Q112" s="112"/>
      <c r="R112" s="112"/>
      <c r="S112" s="113"/>
      <c r="T112" s="112"/>
      <c r="U112" s="112"/>
      <c r="V112" s="114"/>
    </row>
    <row r="113" spans="3:22" x14ac:dyDescent="0.25">
      <c r="C113" s="111"/>
      <c r="D113" s="112"/>
      <c r="E113" s="112"/>
      <c r="F113" s="271">
        <v>1.4</v>
      </c>
      <c r="G113" s="271"/>
      <c r="H113" s="271"/>
      <c r="I113" s="113" t="s">
        <v>102</v>
      </c>
      <c r="J113" s="271" t="s">
        <v>3</v>
      </c>
      <c r="K113" s="271"/>
      <c r="L113" s="113" t="s">
        <v>40</v>
      </c>
      <c r="M113" s="271" t="s">
        <v>61</v>
      </c>
      <c r="N113" s="271"/>
      <c r="O113" s="112"/>
      <c r="P113" s="112"/>
      <c r="Q113" s="112"/>
      <c r="R113" s="112"/>
      <c r="S113" s="113"/>
      <c r="T113" s="112"/>
      <c r="U113" s="112"/>
      <c r="V113" s="114"/>
    </row>
    <row r="114" spans="3:22" x14ac:dyDescent="0.25">
      <c r="C114" s="111"/>
      <c r="D114" s="120" t="s">
        <v>104</v>
      </c>
      <c r="E114" s="122" t="s">
        <v>159</v>
      </c>
      <c r="F114" s="112"/>
      <c r="G114" s="112"/>
      <c r="H114" s="113"/>
      <c r="I114" s="112"/>
      <c r="J114" s="112"/>
      <c r="K114" s="112"/>
      <c r="L114" s="112"/>
      <c r="M114" s="112"/>
      <c r="N114" s="112"/>
      <c r="O114" s="112"/>
      <c r="P114" s="112"/>
      <c r="Q114" s="112"/>
      <c r="R114" s="153" t="s">
        <v>211</v>
      </c>
      <c r="S114" s="113"/>
      <c r="T114" s="112"/>
      <c r="U114" s="112"/>
      <c r="V114" s="114"/>
    </row>
    <row r="115" spans="3:22" x14ac:dyDescent="0.25">
      <c r="C115" s="111"/>
      <c r="D115" s="112"/>
      <c r="E115" s="112"/>
      <c r="F115" s="112"/>
      <c r="G115" s="112"/>
      <c r="H115" s="113"/>
      <c r="I115" s="112"/>
      <c r="J115" s="271" t="s">
        <v>98</v>
      </c>
      <c r="K115" s="271"/>
      <c r="L115" s="112"/>
      <c r="M115" s="112"/>
      <c r="N115" s="112"/>
      <c r="O115" s="112"/>
      <c r="P115" s="112"/>
      <c r="Q115" s="112"/>
      <c r="R115" s="153" t="s">
        <v>209</v>
      </c>
      <c r="S115" s="113"/>
      <c r="T115" s="112"/>
      <c r="U115" s="112"/>
      <c r="V115" s="114"/>
    </row>
    <row r="116" spans="3:22" x14ac:dyDescent="0.25">
      <c r="C116" s="111"/>
      <c r="D116" s="112"/>
      <c r="E116" s="112"/>
      <c r="F116" s="112"/>
      <c r="G116" s="112"/>
      <c r="H116" s="113"/>
      <c r="I116" s="112"/>
      <c r="J116" s="112"/>
      <c r="K116" s="112"/>
      <c r="L116" s="112"/>
      <c r="M116" s="113"/>
      <c r="N116" s="112"/>
      <c r="O116" s="112"/>
      <c r="P116" s="112"/>
      <c r="Q116" s="112"/>
      <c r="R116" s="112"/>
      <c r="S116" s="113"/>
      <c r="T116" s="112"/>
      <c r="U116" s="112"/>
      <c r="V116" s="114"/>
    </row>
    <row r="117" spans="3:22" x14ac:dyDescent="0.25">
      <c r="C117" s="111"/>
      <c r="D117" s="112" t="s">
        <v>9</v>
      </c>
      <c r="E117" s="272" t="s">
        <v>70</v>
      </c>
      <c r="F117" s="271"/>
      <c r="G117" s="112"/>
      <c r="H117" s="271">
        <v>31.36</v>
      </c>
      <c r="I117" s="271"/>
      <c r="J117" s="112"/>
      <c r="K117" s="112" t="s">
        <v>29</v>
      </c>
      <c r="L117" s="112"/>
      <c r="M117" s="113"/>
      <c r="N117" s="112"/>
      <c r="O117" s="112"/>
      <c r="P117" s="112"/>
      <c r="Q117" s="112"/>
      <c r="R117" s="112"/>
      <c r="S117" s="113"/>
      <c r="T117" s="112"/>
      <c r="U117" s="112"/>
      <c r="V117" s="114"/>
    </row>
    <row r="118" spans="3:22" x14ac:dyDescent="0.25">
      <c r="C118" s="111"/>
      <c r="D118" s="112" t="s">
        <v>158</v>
      </c>
      <c r="E118" s="112"/>
      <c r="F118" s="112"/>
      <c r="G118" s="112"/>
      <c r="H118" s="113"/>
      <c r="I118" s="112"/>
      <c r="J118" s="112"/>
      <c r="K118" s="112"/>
      <c r="L118" s="112"/>
      <c r="M118" s="113"/>
      <c r="N118" s="112"/>
      <c r="O118" s="112"/>
      <c r="P118" s="112"/>
      <c r="Q118" s="112"/>
      <c r="R118" s="112"/>
      <c r="S118" s="113"/>
      <c r="T118" s="112"/>
      <c r="U118" s="112"/>
      <c r="V118" s="114"/>
    </row>
    <row r="119" spans="3:22" x14ac:dyDescent="0.25">
      <c r="C119" s="111"/>
      <c r="D119" s="112"/>
      <c r="E119" s="112"/>
      <c r="F119" s="112"/>
      <c r="G119" s="112"/>
      <c r="H119" s="113"/>
      <c r="I119" s="112"/>
      <c r="J119" s="112"/>
      <c r="K119" s="112"/>
      <c r="L119" s="112"/>
      <c r="M119" s="113"/>
      <c r="N119" s="112"/>
      <c r="O119" s="112"/>
      <c r="P119" s="112"/>
      <c r="Q119" s="112"/>
      <c r="R119" s="112"/>
      <c r="S119" s="113"/>
      <c r="T119" s="112"/>
      <c r="U119" s="112"/>
      <c r="V119" s="114"/>
    </row>
    <row r="120" spans="3:22" x14ac:dyDescent="0.25">
      <c r="C120" s="111"/>
      <c r="D120" s="112"/>
      <c r="E120" s="112"/>
      <c r="F120" s="112"/>
      <c r="G120" s="271" t="s">
        <v>9</v>
      </c>
      <c r="H120" s="271"/>
      <c r="I120" s="113" t="s">
        <v>102</v>
      </c>
      <c r="J120" s="271" t="s">
        <v>3</v>
      </c>
      <c r="K120" s="271"/>
      <c r="L120" s="113" t="s">
        <v>40</v>
      </c>
      <c r="M120" s="113" t="s">
        <v>61</v>
      </c>
      <c r="N120" s="112"/>
      <c r="O120" s="112"/>
      <c r="P120" s="112"/>
      <c r="Q120" s="112"/>
      <c r="R120" s="112"/>
      <c r="S120" s="113"/>
      <c r="T120" s="112"/>
      <c r="U120" s="112"/>
      <c r="V120" s="114"/>
    </row>
    <row r="121" spans="3:22" x14ac:dyDescent="0.25">
      <c r="C121" s="111"/>
      <c r="D121" s="120" t="s">
        <v>216</v>
      </c>
      <c r="E121" s="113" t="s">
        <v>2</v>
      </c>
      <c r="F121" s="112"/>
      <c r="G121" s="112"/>
      <c r="H121" s="113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3"/>
      <c r="T121" s="112"/>
      <c r="U121" s="112"/>
      <c r="V121" s="114"/>
    </row>
    <row r="122" spans="3:22" x14ac:dyDescent="0.25">
      <c r="C122" s="111"/>
      <c r="D122" s="112"/>
      <c r="E122" s="112"/>
      <c r="F122" s="112"/>
      <c r="G122" s="112"/>
      <c r="H122" s="113"/>
      <c r="I122" s="112"/>
      <c r="J122" s="112">
        <v>4</v>
      </c>
      <c r="K122" s="113" t="s">
        <v>98</v>
      </c>
      <c r="L122" s="112"/>
      <c r="M122" s="112"/>
      <c r="N122" s="112"/>
      <c r="O122" s="112"/>
      <c r="P122" s="112"/>
      <c r="Q122" s="112"/>
      <c r="R122" s="112"/>
      <c r="S122" s="113"/>
      <c r="T122" s="112"/>
      <c r="U122" s="112"/>
      <c r="V122" s="114"/>
    </row>
    <row r="123" spans="3:22" x14ac:dyDescent="0.25">
      <c r="C123" s="111"/>
      <c r="D123" s="112"/>
      <c r="E123" s="112"/>
      <c r="F123" s="112"/>
      <c r="G123" s="112"/>
      <c r="H123" s="113"/>
      <c r="I123" s="112"/>
      <c r="J123" s="112"/>
      <c r="K123" s="112"/>
      <c r="L123" s="112"/>
      <c r="M123" s="113"/>
      <c r="N123" s="112"/>
      <c r="O123" s="112"/>
      <c r="P123" s="112"/>
      <c r="Q123" s="112"/>
      <c r="R123" s="112"/>
      <c r="S123" s="113"/>
      <c r="T123" s="112"/>
      <c r="U123" s="112"/>
      <c r="V123" s="114"/>
    </row>
    <row r="124" spans="3:22" x14ac:dyDescent="0.25">
      <c r="C124" s="111" t="s">
        <v>207</v>
      </c>
      <c r="D124" s="112" t="s">
        <v>208</v>
      </c>
      <c r="E124" s="112"/>
      <c r="F124" s="112"/>
      <c r="G124" s="112"/>
      <c r="H124" s="113"/>
      <c r="I124" s="112"/>
      <c r="J124" s="112"/>
      <c r="K124" s="112"/>
      <c r="L124" s="112"/>
      <c r="M124" s="113"/>
      <c r="N124" s="112"/>
      <c r="O124" s="112"/>
      <c r="P124" s="112"/>
      <c r="Q124" s="112"/>
      <c r="R124" s="112"/>
      <c r="S124" s="113"/>
      <c r="T124" s="112"/>
      <c r="U124" s="112"/>
      <c r="V124" s="114"/>
    </row>
    <row r="125" spans="3:22" x14ac:dyDescent="0.25">
      <c r="C125" s="111"/>
      <c r="D125" s="112"/>
      <c r="E125" s="112"/>
      <c r="F125" s="112"/>
      <c r="G125" s="112"/>
      <c r="H125" s="113"/>
      <c r="I125" s="112"/>
      <c r="J125" s="112"/>
      <c r="K125" s="112"/>
      <c r="L125" s="112"/>
      <c r="M125" s="113"/>
      <c r="N125" s="112"/>
      <c r="O125" s="112"/>
      <c r="P125" s="112"/>
      <c r="Q125" s="112"/>
      <c r="R125" s="112"/>
      <c r="S125" s="113"/>
      <c r="T125" s="112"/>
      <c r="U125" s="112"/>
      <c r="V125" s="114"/>
    </row>
    <row r="126" spans="3:22" ht="17.25" x14ac:dyDescent="0.25">
      <c r="C126" s="111"/>
      <c r="D126" s="112"/>
      <c r="E126" s="112"/>
      <c r="F126" s="271">
        <v>0.25</v>
      </c>
      <c r="G126" s="271"/>
      <c r="H126" s="271"/>
      <c r="I126" s="113" t="s">
        <v>40</v>
      </c>
      <c r="J126" s="271" t="s">
        <v>109</v>
      </c>
      <c r="K126" s="271"/>
      <c r="L126" s="113" t="s">
        <v>40</v>
      </c>
      <c r="M126" s="113" t="s">
        <v>17</v>
      </c>
      <c r="N126" s="140">
        <v>2</v>
      </c>
      <c r="O126" s="113"/>
      <c r="P126" s="112"/>
      <c r="Q126" s="112"/>
      <c r="R126" s="112"/>
      <c r="S126" s="113"/>
      <c r="T126" s="112"/>
      <c r="U126" s="112"/>
      <c r="V126" s="114"/>
    </row>
    <row r="127" spans="3:22" x14ac:dyDescent="0.25">
      <c r="C127" s="111"/>
      <c r="D127" s="113" t="s">
        <v>108</v>
      </c>
      <c r="E127" s="113" t="s">
        <v>2</v>
      </c>
      <c r="F127" s="112"/>
      <c r="G127" s="112"/>
      <c r="H127" s="112"/>
      <c r="I127" s="112"/>
      <c r="J127" s="112"/>
      <c r="K127" s="112"/>
      <c r="L127" s="112"/>
      <c r="M127" s="112"/>
      <c r="N127" s="113" t="s">
        <v>110</v>
      </c>
      <c r="O127" s="112"/>
      <c r="P127" s="112"/>
      <c r="Q127" s="112"/>
      <c r="R127" s="112"/>
      <c r="S127" s="113"/>
      <c r="T127" s="112"/>
      <c r="U127" s="112"/>
      <c r="V127" s="114"/>
    </row>
    <row r="128" spans="3:22" x14ac:dyDescent="0.25">
      <c r="C128" s="111"/>
      <c r="D128" s="112"/>
      <c r="E128" s="112"/>
      <c r="F128" s="112"/>
      <c r="G128" s="112"/>
      <c r="H128" s="112"/>
      <c r="I128" s="132" t="s">
        <v>206</v>
      </c>
      <c r="J128" s="132"/>
      <c r="K128" s="112"/>
      <c r="L128" s="112"/>
      <c r="M128" s="112"/>
      <c r="N128" s="112"/>
      <c r="O128" s="112"/>
      <c r="P128" s="112"/>
      <c r="Q128" s="112"/>
      <c r="R128" s="112"/>
      <c r="S128" s="113"/>
      <c r="T128" s="112"/>
      <c r="U128" s="112"/>
      <c r="V128" s="114"/>
    </row>
    <row r="129" spans="3:22" x14ac:dyDescent="0.25">
      <c r="C129" s="111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53" t="s">
        <v>212</v>
      </c>
      <c r="S129" s="113"/>
      <c r="T129" s="112"/>
      <c r="U129" s="112"/>
      <c r="V129" s="114"/>
    </row>
    <row r="130" spans="3:22" x14ac:dyDescent="0.25">
      <c r="C130" s="111"/>
      <c r="D130" s="113" t="s">
        <v>108</v>
      </c>
      <c r="E130" s="122" t="s">
        <v>52</v>
      </c>
      <c r="F130" s="113">
        <v>2</v>
      </c>
      <c r="G130" s="113" t="s">
        <v>40</v>
      </c>
      <c r="H130" s="113" t="s">
        <v>12</v>
      </c>
      <c r="I130" s="112"/>
      <c r="J130" s="112"/>
      <c r="K130" s="112"/>
      <c r="L130" s="112"/>
      <c r="M130" s="113"/>
      <c r="N130" s="112"/>
      <c r="O130" s="112"/>
      <c r="P130" s="112"/>
      <c r="Q130" s="112"/>
      <c r="R130" s="153" t="s">
        <v>210</v>
      </c>
      <c r="S130" s="113"/>
      <c r="T130" s="112"/>
      <c r="U130" s="112"/>
      <c r="V130" s="114"/>
    </row>
    <row r="131" spans="3:22" x14ac:dyDescent="0.25">
      <c r="C131" s="111"/>
      <c r="D131" s="112"/>
      <c r="E131" s="112"/>
      <c r="F131" s="112"/>
      <c r="G131" s="112"/>
      <c r="H131" s="113"/>
      <c r="I131" s="112"/>
      <c r="J131" s="112"/>
      <c r="K131" s="112"/>
      <c r="L131" s="112"/>
      <c r="M131" s="113"/>
      <c r="N131" s="112"/>
      <c r="O131" s="112"/>
      <c r="P131" s="112"/>
      <c r="Q131" s="112"/>
      <c r="R131" s="112"/>
      <c r="S131" s="113"/>
      <c r="T131" s="112"/>
      <c r="U131" s="112"/>
      <c r="V131" s="114"/>
    </row>
    <row r="132" spans="3:22" x14ac:dyDescent="0.25">
      <c r="C132" s="111"/>
      <c r="D132" s="113" t="s">
        <v>108</v>
      </c>
      <c r="E132" s="122" t="s">
        <v>52</v>
      </c>
      <c r="F132" s="270">
        <v>450</v>
      </c>
      <c r="G132" s="270"/>
      <c r="H132" s="270"/>
      <c r="I132" s="112"/>
      <c r="J132" s="112"/>
      <c r="K132" s="112"/>
      <c r="L132" s="112"/>
      <c r="M132" s="113"/>
      <c r="N132" s="112"/>
      <c r="O132" s="112"/>
      <c r="P132" s="112"/>
      <c r="Q132" s="112"/>
      <c r="R132" s="112"/>
      <c r="S132" s="113"/>
      <c r="T132" s="112"/>
      <c r="U132" s="112"/>
      <c r="V132" s="114"/>
    </row>
    <row r="133" spans="3:22" ht="15.75" thickBot="1" x14ac:dyDescent="0.3">
      <c r="C133" s="115"/>
      <c r="D133" s="116"/>
      <c r="E133" s="116"/>
      <c r="F133" s="116"/>
      <c r="G133" s="116"/>
      <c r="H133" s="117"/>
      <c r="I133" s="116"/>
      <c r="J133" s="116"/>
      <c r="K133" s="116"/>
      <c r="L133" s="116"/>
      <c r="M133" s="117"/>
      <c r="N133" s="116"/>
      <c r="O133" s="116"/>
      <c r="P133" s="116"/>
      <c r="Q133" s="116"/>
      <c r="R133" s="116"/>
      <c r="S133" s="117"/>
      <c r="T133" s="116"/>
      <c r="U133" s="116"/>
      <c r="V133" s="119"/>
    </row>
    <row r="137" spans="3:22" ht="15.75" thickBot="1" x14ac:dyDescent="0.3"/>
    <row r="138" spans="3:22" x14ac:dyDescent="0.25">
      <c r="C138" s="148" t="s">
        <v>214</v>
      </c>
      <c r="D138" s="155"/>
      <c r="E138" s="155"/>
      <c r="F138" s="155"/>
      <c r="G138" s="155"/>
      <c r="H138" s="156"/>
      <c r="I138" s="155"/>
      <c r="J138" s="155"/>
      <c r="K138" s="155"/>
      <c r="L138" s="155"/>
      <c r="M138" s="156"/>
      <c r="N138" s="155"/>
      <c r="O138" s="155"/>
      <c r="P138" s="155"/>
      <c r="Q138" s="155"/>
      <c r="R138" s="155"/>
      <c r="S138" s="156"/>
      <c r="T138" s="155"/>
      <c r="U138" s="155"/>
      <c r="V138" s="157"/>
    </row>
    <row r="139" spans="3:22" x14ac:dyDescent="0.25">
      <c r="C139" s="158"/>
      <c r="D139" s="154"/>
      <c r="E139" s="154"/>
      <c r="F139" s="154"/>
      <c r="G139" s="154"/>
      <c r="H139" s="159"/>
      <c r="I139" s="154"/>
      <c r="J139" s="154"/>
      <c r="K139" s="154"/>
      <c r="L139" s="154"/>
      <c r="M139" s="159"/>
      <c r="N139" s="154"/>
      <c r="O139" s="154"/>
      <c r="P139" s="154"/>
      <c r="Q139" s="154"/>
      <c r="R139" s="154"/>
      <c r="S139" s="159"/>
      <c r="T139" s="154"/>
      <c r="U139" s="154"/>
      <c r="V139" s="160"/>
    </row>
    <row r="140" spans="3:22" x14ac:dyDescent="0.25">
      <c r="C140" s="158"/>
      <c r="D140" s="154"/>
      <c r="E140" s="154"/>
      <c r="F140" s="154"/>
      <c r="G140" s="154"/>
      <c r="H140" s="159"/>
      <c r="I140" s="154"/>
      <c r="J140" s="154"/>
      <c r="K140" s="154"/>
      <c r="L140" s="154"/>
      <c r="M140" s="159"/>
      <c r="N140" s="154"/>
      <c r="O140" s="154"/>
      <c r="P140" s="154"/>
      <c r="Q140" s="154"/>
      <c r="R140" s="154"/>
      <c r="S140" s="159"/>
      <c r="T140" s="154"/>
      <c r="U140" s="154"/>
      <c r="V140" s="160"/>
    </row>
    <row r="141" spans="3:22" x14ac:dyDescent="0.25">
      <c r="C141" s="164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59"/>
      <c r="T141" s="154"/>
      <c r="U141" s="154"/>
      <c r="V141" s="160"/>
    </row>
    <row r="142" spans="3:22" x14ac:dyDescent="0.25">
      <c r="C142" s="166" t="s">
        <v>143</v>
      </c>
      <c r="D142" s="167" t="s">
        <v>2</v>
      </c>
      <c r="E142" s="122" t="s">
        <v>69</v>
      </c>
      <c r="F142" s="167" t="s">
        <v>40</v>
      </c>
      <c r="G142" s="268">
        <v>0.85</v>
      </c>
      <c r="H142" s="268"/>
      <c r="I142" s="268"/>
      <c r="J142" s="167" t="s">
        <v>40</v>
      </c>
      <c r="K142" s="268" t="s">
        <v>9</v>
      </c>
      <c r="L142" s="268"/>
      <c r="M142" s="167" t="s">
        <v>40</v>
      </c>
      <c r="N142" s="167" t="s">
        <v>144</v>
      </c>
      <c r="O142" s="167" t="s">
        <v>213</v>
      </c>
      <c r="P142" s="165"/>
      <c r="Q142" s="167" t="s">
        <v>215</v>
      </c>
      <c r="R142" s="165"/>
      <c r="S142" s="159"/>
      <c r="T142" s="154"/>
      <c r="U142" s="154"/>
      <c r="V142" s="160"/>
    </row>
    <row r="143" spans="3:22" x14ac:dyDescent="0.25">
      <c r="C143" s="164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59"/>
      <c r="T143" s="154"/>
      <c r="U143" s="154"/>
      <c r="V143" s="160"/>
    </row>
    <row r="144" spans="3:22" x14ac:dyDescent="0.25">
      <c r="C144" s="166" t="s">
        <v>192</v>
      </c>
      <c r="D144" s="159" t="s">
        <v>22</v>
      </c>
      <c r="E144" s="269" t="s">
        <v>52</v>
      </c>
      <c r="F144" s="269"/>
      <c r="G144" s="270" t="s">
        <v>143</v>
      </c>
      <c r="H144" s="270"/>
      <c r="I144" s="270"/>
      <c r="J144" s="167"/>
      <c r="K144" s="268"/>
      <c r="L144" s="268"/>
      <c r="M144" s="268"/>
      <c r="N144" s="165"/>
      <c r="O144" s="165"/>
      <c r="P144" s="165"/>
      <c r="Q144" s="165"/>
      <c r="R144" s="165"/>
      <c r="S144" s="159"/>
      <c r="T144" s="154"/>
      <c r="U144" s="154"/>
      <c r="V144" s="160"/>
    </row>
    <row r="145" spans="3:22" ht="15.75" thickBot="1" x14ac:dyDescent="0.3">
      <c r="C145" s="168"/>
      <c r="D145" s="169"/>
      <c r="E145" s="118"/>
      <c r="F145" s="118"/>
      <c r="G145" s="169"/>
      <c r="H145" s="169"/>
      <c r="I145" s="169"/>
      <c r="J145" s="169"/>
      <c r="K145" s="169"/>
      <c r="L145" s="169"/>
      <c r="M145" s="169"/>
      <c r="N145" s="170"/>
      <c r="O145" s="170"/>
      <c r="P145" s="170"/>
      <c r="Q145" s="170"/>
      <c r="R145" s="170"/>
      <c r="S145" s="161"/>
      <c r="T145" s="162"/>
      <c r="U145" s="162"/>
      <c r="V145" s="163"/>
    </row>
    <row r="147" spans="3:22" x14ac:dyDescent="0.25">
      <c r="D147" s="172" t="s">
        <v>217</v>
      </c>
      <c r="H147" s="65"/>
      <c r="I147" s="145"/>
      <c r="M147" s="65"/>
      <c r="N147" s="145"/>
      <c r="S147" s="65"/>
    </row>
  </sheetData>
  <mergeCells count="63">
    <mergeCell ref="M38:O38"/>
    <mergeCell ref="M42:N42"/>
    <mergeCell ref="P42:R42"/>
    <mergeCell ref="E14:G14"/>
    <mergeCell ref="I14:L14"/>
    <mergeCell ref="N14:Q14"/>
    <mergeCell ref="E24:G24"/>
    <mergeCell ref="I24:L24"/>
    <mergeCell ref="N24:Q24"/>
    <mergeCell ref="E28:G28"/>
    <mergeCell ref="I28:L28"/>
    <mergeCell ref="N28:Q28"/>
    <mergeCell ref="E45:F45"/>
    <mergeCell ref="E47:F47"/>
    <mergeCell ref="E50:F50"/>
    <mergeCell ref="G50:H50"/>
    <mergeCell ref="I38:K38"/>
    <mergeCell ref="H71:I71"/>
    <mergeCell ref="O69:P69"/>
    <mergeCell ref="L69:M69"/>
    <mergeCell ref="J74:K74"/>
    <mergeCell ref="T58:U58"/>
    <mergeCell ref="T60:U60"/>
    <mergeCell ref="J65:L65"/>
    <mergeCell ref="G85:H85"/>
    <mergeCell ref="J85:K85"/>
    <mergeCell ref="M85:N85"/>
    <mergeCell ref="G87:H87"/>
    <mergeCell ref="J87:K87"/>
    <mergeCell ref="S89:U89"/>
    <mergeCell ref="H92:I92"/>
    <mergeCell ref="F92:G92"/>
    <mergeCell ref="L92:M92"/>
    <mergeCell ref="P91:R91"/>
    <mergeCell ref="F89:H89"/>
    <mergeCell ref="F98:H98"/>
    <mergeCell ref="J98:L98"/>
    <mergeCell ref="R98:S98"/>
    <mergeCell ref="P100:Q100"/>
    <mergeCell ref="J104:L104"/>
    <mergeCell ref="J102:L102"/>
    <mergeCell ref="O103:P103"/>
    <mergeCell ref="F106:H106"/>
    <mergeCell ref="J106:K106"/>
    <mergeCell ref="K108:L108"/>
    <mergeCell ref="E110:F110"/>
    <mergeCell ref="H110:I110"/>
    <mergeCell ref="M113:N113"/>
    <mergeCell ref="J115:K115"/>
    <mergeCell ref="E117:F117"/>
    <mergeCell ref="H117:I117"/>
    <mergeCell ref="G120:H120"/>
    <mergeCell ref="J120:K120"/>
    <mergeCell ref="F113:H113"/>
    <mergeCell ref="J113:K113"/>
    <mergeCell ref="K144:M144"/>
    <mergeCell ref="G142:I142"/>
    <mergeCell ref="E144:F144"/>
    <mergeCell ref="G144:I144"/>
    <mergeCell ref="F126:H126"/>
    <mergeCell ref="J126:K126"/>
    <mergeCell ref="F132:H132"/>
    <mergeCell ref="K142:L142"/>
  </mergeCells>
  <pageMargins left="0.7" right="0.7" top="0.75" bottom="0.75" header="0.3" footer="0.3"/>
  <pageSetup paperSize="9" orientation="portrait" horizontalDpi="300" verticalDpi="0" copies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3" tint="0.39997558519241921"/>
  </sheetPr>
  <dimension ref="A1:U304"/>
  <sheetViews>
    <sheetView view="pageBreakPreview" topLeftCell="A283" zoomScale="85" zoomScaleSheetLayoutView="85" zoomScalePageLayoutView="80" workbookViewId="0">
      <selection activeCell="G304" sqref="G304"/>
    </sheetView>
  </sheetViews>
  <sheetFormatPr defaultRowHeight="15" x14ac:dyDescent="0.25"/>
  <cols>
    <col min="1" max="1" width="7.7109375" customWidth="1"/>
    <col min="2" max="2" width="3.7109375" customWidth="1"/>
    <col min="3" max="3" width="9.5703125" customWidth="1"/>
    <col min="4" max="4" width="4.7109375" bestFit="1" customWidth="1"/>
    <col min="5" max="5" width="6.7109375" customWidth="1"/>
    <col min="6" max="6" width="6.42578125" customWidth="1"/>
    <col min="7" max="7" width="7.28515625" customWidth="1"/>
    <col min="8" max="8" width="6.7109375" customWidth="1"/>
    <col min="9" max="9" width="8.28515625" customWidth="1"/>
    <col min="10" max="10" width="12" bestFit="1" customWidth="1"/>
    <col min="11" max="11" width="9" customWidth="1"/>
    <col min="12" max="12" width="9.5703125" customWidth="1"/>
    <col min="13" max="13" width="8.85546875" bestFit="1" customWidth="1"/>
    <col min="14" max="14" width="9.85546875" customWidth="1"/>
    <col min="16" max="16" width="10.140625" bestFit="1" customWidth="1"/>
    <col min="17" max="17" width="15.140625" bestFit="1" customWidth="1"/>
    <col min="18" max="18" width="9.140625" customWidth="1"/>
  </cols>
  <sheetData>
    <row r="1" spans="1:19" x14ac:dyDescent="0.25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3" t="s">
        <v>115</v>
      </c>
      <c r="N1" s="212"/>
      <c r="O1" s="212" t="s">
        <v>123</v>
      </c>
      <c r="P1" s="212"/>
      <c r="Q1" s="212"/>
      <c r="R1" s="212"/>
      <c r="S1" s="212"/>
    </row>
    <row r="2" spans="1:19" ht="15.75" x14ac:dyDescent="0.25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3"/>
      <c r="N2" s="212"/>
      <c r="O2" s="212"/>
      <c r="P2" s="214">
        <v>1</v>
      </c>
      <c r="Q2" s="212"/>
      <c r="R2" s="212"/>
      <c r="S2" s="212"/>
    </row>
    <row r="3" spans="1:19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3"/>
      <c r="N3" s="212"/>
      <c r="O3" s="212"/>
      <c r="P3" s="212"/>
      <c r="Q3" s="212"/>
      <c r="R3" s="212"/>
      <c r="S3" s="212"/>
    </row>
    <row r="4" spans="1:19" x14ac:dyDescent="0.25">
      <c r="A4" s="215"/>
      <c r="B4" s="215"/>
      <c r="C4" s="216"/>
      <c r="D4" s="216"/>
      <c r="E4" s="216"/>
      <c r="F4" s="216"/>
      <c r="G4" s="216"/>
      <c r="H4" s="215"/>
      <c r="I4" s="215"/>
      <c r="J4" s="215"/>
      <c r="K4" s="215"/>
      <c r="L4" s="215"/>
      <c r="M4" s="217" t="s">
        <v>116</v>
      </c>
      <c r="N4" s="218"/>
      <c r="O4" s="218"/>
      <c r="P4" s="218"/>
      <c r="Q4" s="218"/>
      <c r="R4" s="218"/>
      <c r="S4" s="218"/>
    </row>
    <row r="5" spans="1:19" x14ac:dyDescent="0.25">
      <c r="A5" s="212" t="s">
        <v>113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7" t="s">
        <v>117</v>
      </c>
      <c r="N5" s="218"/>
      <c r="O5" s="218"/>
      <c r="P5" s="218"/>
      <c r="Q5" s="218"/>
      <c r="R5" s="218"/>
      <c r="S5" s="218"/>
    </row>
    <row r="6" spans="1:19" x14ac:dyDescent="0.25">
      <c r="A6" s="215"/>
      <c r="B6" s="215"/>
      <c r="C6" s="219" t="str">
        <f>'Input Data'!C4:J4</f>
        <v>Ruko Permata Juanda Surabaya</v>
      </c>
      <c r="D6" s="215"/>
      <c r="E6" s="215"/>
      <c r="F6" s="215"/>
      <c r="G6" s="215"/>
      <c r="H6" s="215"/>
      <c r="I6" s="215"/>
      <c r="J6" s="215"/>
      <c r="K6" s="215"/>
      <c r="L6" s="220"/>
      <c r="M6" s="217" t="s">
        <v>120</v>
      </c>
      <c r="N6" s="299" t="str">
        <f>'Input Data'!C8</f>
        <v>Lutfi</v>
      </c>
      <c r="O6" s="300"/>
      <c r="P6" s="218" t="s">
        <v>118</v>
      </c>
      <c r="Q6" s="297"/>
      <c r="R6" s="297"/>
      <c r="S6" s="221"/>
    </row>
    <row r="7" spans="1:19" ht="15.75" thickBot="1" x14ac:dyDescent="0.3">
      <c r="A7" s="222" t="s">
        <v>114</v>
      </c>
      <c r="B7" s="222"/>
      <c r="C7" s="222" t="str">
        <f>'Input Data'!C5</f>
        <v>Mr Bunawan</v>
      </c>
      <c r="D7" s="222"/>
      <c r="E7" s="222"/>
      <c r="F7" s="222"/>
      <c r="G7" s="222"/>
      <c r="H7" s="222"/>
      <c r="I7" s="222"/>
      <c r="J7" s="222"/>
      <c r="K7" s="222"/>
      <c r="L7" s="222"/>
      <c r="M7" s="223" t="s">
        <v>119</v>
      </c>
      <c r="N7" s="224"/>
      <c r="O7" s="225"/>
      <c r="P7" s="226" t="s">
        <v>121</v>
      </c>
      <c r="Q7" s="296">
        <f ca="1">NOW()</f>
        <v>43738.312315972224</v>
      </c>
      <c r="R7" s="296"/>
      <c r="S7" s="222"/>
    </row>
    <row r="8" spans="1:19" ht="15.75" thickTop="1" x14ac:dyDescent="0.25"/>
    <row r="9" spans="1:19" x14ac:dyDescent="0.25">
      <c r="A9" t="s">
        <v>122</v>
      </c>
    </row>
    <row r="11" spans="1:19" x14ac:dyDescent="0.25">
      <c r="A11" s="58" t="s">
        <v>36</v>
      </c>
      <c r="B11" s="58" t="s">
        <v>2</v>
      </c>
      <c r="C11" s="279" t="s">
        <v>42</v>
      </c>
      <c r="D11" s="279"/>
      <c r="E11" s="279"/>
      <c r="F11" s="58" t="s">
        <v>37</v>
      </c>
      <c r="G11" s="279" t="s">
        <v>38</v>
      </c>
      <c r="H11" s="279"/>
      <c r="I11" s="279"/>
      <c r="J11" s="1"/>
      <c r="N11" s="36"/>
      <c r="Q11" s="54"/>
    </row>
    <row r="12" spans="1:19" x14ac:dyDescent="0.25">
      <c r="A12" s="58"/>
      <c r="B12" s="58" t="s">
        <v>2</v>
      </c>
      <c r="C12" s="60" t="s">
        <v>39</v>
      </c>
      <c r="D12" s="60" t="s">
        <v>40</v>
      </c>
      <c r="E12" s="5" t="s">
        <v>41</v>
      </c>
      <c r="F12" s="60" t="s">
        <v>37</v>
      </c>
      <c r="G12" s="60" t="s">
        <v>45</v>
      </c>
      <c r="H12" s="60" t="s">
        <v>40</v>
      </c>
      <c r="I12" s="5" t="s">
        <v>32</v>
      </c>
      <c r="J12" s="58"/>
    </row>
    <row r="13" spans="1:19" x14ac:dyDescent="0.25">
      <c r="A13" s="58"/>
      <c r="B13" s="58" t="s">
        <v>2</v>
      </c>
      <c r="C13" s="6">
        <f>'Input Data'!G21</f>
        <v>0.5</v>
      </c>
      <c r="D13" s="60" t="s">
        <v>40</v>
      </c>
      <c r="E13" s="60">
        <f>'Input Data'!G26</f>
        <v>24</v>
      </c>
      <c r="F13" s="60" t="s">
        <v>37</v>
      </c>
      <c r="G13" s="6">
        <f>'Input Data'!G32</f>
        <v>1.2</v>
      </c>
      <c r="H13" s="60" t="s">
        <v>40</v>
      </c>
      <c r="I13" s="6">
        <f>'Input Data'!G31</f>
        <v>17.2</v>
      </c>
      <c r="J13" s="58"/>
    </row>
    <row r="14" spans="1:19" x14ac:dyDescent="0.25">
      <c r="A14" s="58"/>
      <c r="B14" s="58" t="s">
        <v>2</v>
      </c>
      <c r="C14" s="286">
        <f>(C13*E13)+(G13*I13)</f>
        <v>32.64</v>
      </c>
      <c r="D14" s="286"/>
      <c r="E14" s="7" t="s">
        <v>46</v>
      </c>
      <c r="F14" s="60"/>
      <c r="G14" s="3"/>
      <c r="H14" s="60"/>
      <c r="I14" s="7"/>
      <c r="J14" s="58"/>
    </row>
    <row r="15" spans="1:19" x14ac:dyDescent="0.25">
      <c r="A15" s="58"/>
      <c r="F15" s="58"/>
      <c r="G15" s="55"/>
      <c r="H15" s="58"/>
      <c r="J15" s="58"/>
    </row>
    <row r="16" spans="1:19" x14ac:dyDescent="0.25">
      <c r="A16" s="11" t="s">
        <v>47</v>
      </c>
      <c r="F16" s="58"/>
      <c r="G16" s="55"/>
      <c r="H16" s="58"/>
      <c r="J16" s="58"/>
      <c r="L16" s="12"/>
    </row>
    <row r="17" spans="1:14" x14ac:dyDescent="0.25">
      <c r="A17" s="58"/>
      <c r="G17" s="55"/>
      <c r="H17" s="58"/>
      <c r="J17" s="58"/>
    </row>
    <row r="18" spans="1:14" x14ac:dyDescent="0.25">
      <c r="A18" s="55" t="s">
        <v>48</v>
      </c>
      <c r="B18" s="55"/>
      <c r="C18" s="55"/>
      <c r="D18" s="55"/>
      <c r="E18" s="55"/>
      <c r="F18" s="55"/>
      <c r="G18" s="55"/>
      <c r="H18" s="55"/>
      <c r="I18" s="55"/>
      <c r="J18" s="55"/>
    </row>
    <row r="19" spans="1:14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</row>
    <row r="20" spans="1:14" x14ac:dyDescent="0.25">
      <c r="B20" s="55"/>
      <c r="C20" s="279" t="s">
        <v>22</v>
      </c>
      <c r="D20" s="279"/>
      <c r="E20" s="279"/>
      <c r="F20" s="55"/>
      <c r="G20" s="279" t="s">
        <v>24</v>
      </c>
      <c r="H20" s="279"/>
      <c r="I20" s="279"/>
      <c r="J20" s="279"/>
    </row>
    <row r="21" spans="1:14" x14ac:dyDescent="0.25">
      <c r="A21" s="8" t="s">
        <v>49</v>
      </c>
      <c r="B21" s="58" t="s">
        <v>2</v>
      </c>
      <c r="C21" s="55"/>
      <c r="D21" s="55"/>
      <c r="E21" s="55"/>
      <c r="F21" s="58" t="s">
        <v>37</v>
      </c>
      <c r="G21" s="55"/>
      <c r="H21" s="55"/>
      <c r="I21" s="55"/>
      <c r="J21" s="55"/>
      <c r="K21" s="58" t="s">
        <v>37</v>
      </c>
      <c r="L21" s="58" t="s">
        <v>0</v>
      </c>
      <c r="M21" s="56" t="s">
        <v>52</v>
      </c>
      <c r="N21" s="56" t="s">
        <v>14</v>
      </c>
    </row>
    <row r="22" spans="1:14" ht="17.25" x14ac:dyDescent="0.25">
      <c r="A22" s="55"/>
      <c r="B22" s="55"/>
      <c r="C22" s="58" t="s">
        <v>4</v>
      </c>
      <c r="D22" s="58" t="s">
        <v>40</v>
      </c>
      <c r="E22" s="58" t="s">
        <v>5</v>
      </c>
      <c r="F22" s="55"/>
      <c r="G22" s="9" t="s">
        <v>50</v>
      </c>
      <c r="H22" s="58" t="s">
        <v>4</v>
      </c>
      <c r="I22" s="58" t="s">
        <v>40</v>
      </c>
      <c r="J22" s="58" t="s">
        <v>51</v>
      </c>
      <c r="K22" s="55"/>
      <c r="N22" s="58"/>
    </row>
    <row r="23" spans="1:14" x14ac:dyDescent="0.25">
      <c r="A23" s="55"/>
      <c r="B23" s="55"/>
      <c r="C23" s="55"/>
      <c r="D23" s="55"/>
      <c r="E23" s="55"/>
      <c r="F23" s="55"/>
      <c r="G23" s="8"/>
      <c r="H23" s="55"/>
      <c r="I23" s="55"/>
      <c r="J23" s="55"/>
      <c r="N23" s="58"/>
    </row>
    <row r="24" spans="1:14" x14ac:dyDescent="0.25">
      <c r="A24" s="55"/>
      <c r="B24" s="55"/>
      <c r="C24" s="279">
        <f>'Input Data'!G37</f>
        <v>640</v>
      </c>
      <c r="D24" s="279"/>
      <c r="E24" s="279"/>
      <c r="F24" s="55"/>
      <c r="G24" s="279">
        <f>'Input Data'!G38</f>
        <v>18.25</v>
      </c>
      <c r="H24" s="279"/>
      <c r="I24" s="279"/>
      <c r="J24" s="279"/>
      <c r="N24" s="58"/>
    </row>
    <row r="25" spans="1:14" x14ac:dyDescent="0.25">
      <c r="A25" s="55"/>
      <c r="B25" s="58" t="s">
        <v>2</v>
      </c>
      <c r="C25" s="55"/>
      <c r="D25" s="55"/>
      <c r="E25" s="55"/>
      <c r="F25" s="58" t="s">
        <v>37</v>
      </c>
      <c r="G25" s="55"/>
      <c r="H25" s="55"/>
      <c r="I25" s="55"/>
      <c r="J25" s="55"/>
      <c r="K25" s="58" t="s">
        <v>37</v>
      </c>
      <c r="L25" s="58">
        <f>'hasil perhitungan'!C14</f>
        <v>32.64</v>
      </c>
      <c r="M25" s="56" t="s">
        <v>52</v>
      </c>
      <c r="N25" s="58">
        <f>'Input Data'!G30</f>
        <v>105</v>
      </c>
    </row>
    <row r="26" spans="1:14" ht="17.25" x14ac:dyDescent="0.25">
      <c r="A26" s="55"/>
      <c r="B26" s="55"/>
      <c r="C26" s="61">
        <f>'Input Data'!G19</f>
        <v>1.5</v>
      </c>
      <c r="D26" s="58" t="s">
        <v>40</v>
      </c>
      <c r="E26" s="61">
        <f>'Input Data'!G20</f>
        <v>1.5</v>
      </c>
      <c r="F26" s="55"/>
      <c r="G26" s="9" t="s">
        <v>50</v>
      </c>
      <c r="H26" s="61">
        <f>'Input Data'!G19</f>
        <v>1.5</v>
      </c>
      <c r="I26" s="58" t="s">
        <v>40</v>
      </c>
      <c r="J26" s="61">
        <f>'Input Data'!G20</f>
        <v>1.5</v>
      </c>
      <c r="K26" s="10">
        <v>2</v>
      </c>
    </row>
    <row r="27" spans="1:14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4" x14ac:dyDescent="0.25">
      <c r="A28" s="55"/>
      <c r="B28" s="58" t="s">
        <v>2</v>
      </c>
      <c r="C28" s="58">
        <f>C24/(C26*E26)</f>
        <v>284.44444444444446</v>
      </c>
      <c r="D28" s="58" t="s">
        <v>37</v>
      </c>
      <c r="E28" s="58">
        <f>G24/((1/6)*H26*J26^2)</f>
        <v>32.444444444444443</v>
      </c>
      <c r="F28" s="58" t="s">
        <v>37</v>
      </c>
      <c r="G28" s="58">
        <f>L25</f>
        <v>32.64</v>
      </c>
      <c r="H28" s="55"/>
      <c r="I28" s="55"/>
      <c r="J28" s="55"/>
    </row>
    <row r="29" spans="1:14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</row>
    <row r="30" spans="1:14" x14ac:dyDescent="0.25">
      <c r="A30" s="55"/>
      <c r="B30" s="58" t="s">
        <v>2</v>
      </c>
      <c r="C30" s="290">
        <f>C28+E28+G28</f>
        <v>349.5288888888889</v>
      </c>
      <c r="D30" s="290"/>
      <c r="E30" s="56" t="s">
        <v>52</v>
      </c>
      <c r="F30" s="291">
        <v>105</v>
      </c>
      <c r="G30" s="291"/>
      <c r="H30" s="277" t="str">
        <f>IF(C30&lt;=F30,"Save!","Not Save")</f>
        <v>Not Save</v>
      </c>
      <c r="I30" s="277"/>
      <c r="J30" s="55"/>
    </row>
    <row r="31" spans="1:14" x14ac:dyDescent="0.25">
      <c r="A31" s="55"/>
      <c r="B31" s="55"/>
      <c r="C31" s="55"/>
      <c r="D31" s="55"/>
      <c r="E31" s="55"/>
      <c r="F31" s="55"/>
      <c r="G31" s="8"/>
      <c r="H31" s="55"/>
      <c r="I31" s="55"/>
      <c r="J31" s="55"/>
    </row>
    <row r="32" spans="1:14" x14ac:dyDescent="0.25">
      <c r="B32" s="55"/>
      <c r="C32" s="279" t="s">
        <v>22</v>
      </c>
      <c r="D32" s="279"/>
      <c r="E32" s="279"/>
      <c r="F32" s="55"/>
      <c r="G32" s="279" t="s">
        <v>24</v>
      </c>
      <c r="H32" s="279"/>
      <c r="I32" s="279"/>
      <c r="J32" s="279"/>
    </row>
    <row r="33" spans="1:14" x14ac:dyDescent="0.25">
      <c r="A33" s="8" t="s">
        <v>53</v>
      </c>
      <c r="B33" s="58" t="s">
        <v>2</v>
      </c>
      <c r="C33" s="55"/>
      <c r="D33" s="55"/>
      <c r="E33" s="55"/>
      <c r="F33" s="58" t="s">
        <v>54</v>
      </c>
      <c r="G33" s="55"/>
      <c r="H33" s="55"/>
      <c r="I33" s="55"/>
      <c r="J33" s="55"/>
      <c r="K33" s="58" t="s">
        <v>37</v>
      </c>
      <c r="L33" s="58" t="s">
        <v>0</v>
      </c>
      <c r="M33" s="56" t="s">
        <v>52</v>
      </c>
      <c r="N33" s="56" t="s">
        <v>14</v>
      </c>
    </row>
    <row r="34" spans="1:14" ht="17.25" x14ac:dyDescent="0.25">
      <c r="A34" s="55"/>
      <c r="B34" s="55"/>
      <c r="C34" s="58" t="s">
        <v>4</v>
      </c>
      <c r="D34" s="58" t="s">
        <v>40</v>
      </c>
      <c r="E34" s="58" t="s">
        <v>5</v>
      </c>
      <c r="F34" s="55"/>
      <c r="G34" s="9" t="s">
        <v>50</v>
      </c>
      <c r="H34" s="58" t="s">
        <v>4</v>
      </c>
      <c r="I34" s="58" t="s">
        <v>40</v>
      </c>
      <c r="J34" s="58" t="s">
        <v>51</v>
      </c>
      <c r="K34" s="55"/>
      <c r="N34" s="58"/>
    </row>
    <row r="35" spans="1:14" x14ac:dyDescent="0.25">
      <c r="A35" s="55"/>
      <c r="B35" s="55"/>
      <c r="C35" s="55"/>
      <c r="D35" s="55"/>
      <c r="E35" s="55"/>
      <c r="F35" s="55"/>
      <c r="G35" s="8"/>
      <c r="H35" s="55"/>
      <c r="I35" s="55"/>
      <c r="J35" s="55"/>
      <c r="N35" s="58"/>
    </row>
    <row r="36" spans="1:14" x14ac:dyDescent="0.25">
      <c r="A36" s="55"/>
      <c r="B36" s="55"/>
      <c r="C36" s="279">
        <f>C24</f>
        <v>640</v>
      </c>
      <c r="D36" s="279"/>
      <c r="E36" s="279"/>
      <c r="F36" s="55"/>
      <c r="G36" s="279">
        <f>G24</f>
        <v>18.25</v>
      </c>
      <c r="H36" s="279"/>
      <c r="I36" s="279"/>
      <c r="J36" s="279"/>
      <c r="N36" s="58"/>
    </row>
    <row r="37" spans="1:14" x14ac:dyDescent="0.25">
      <c r="A37" s="55"/>
      <c r="B37" s="58" t="s">
        <v>2</v>
      </c>
      <c r="C37" s="55"/>
      <c r="D37" s="55"/>
      <c r="E37" s="55"/>
      <c r="F37" s="58" t="s">
        <v>54</v>
      </c>
      <c r="G37" s="55"/>
      <c r="H37" s="55"/>
      <c r="I37" s="55"/>
      <c r="J37" s="55"/>
      <c r="K37" s="58" t="s">
        <v>37</v>
      </c>
      <c r="L37" s="58">
        <f>L25</f>
        <v>32.64</v>
      </c>
      <c r="M37" s="56" t="s">
        <v>52</v>
      </c>
      <c r="N37" s="58">
        <f>N25</f>
        <v>105</v>
      </c>
    </row>
    <row r="38" spans="1:14" ht="17.25" x14ac:dyDescent="0.25">
      <c r="A38" s="55"/>
      <c r="B38" s="55"/>
      <c r="C38" s="61">
        <f>C26</f>
        <v>1.5</v>
      </c>
      <c r="D38" s="58" t="s">
        <v>40</v>
      </c>
      <c r="E38" s="61">
        <f>E26</f>
        <v>1.5</v>
      </c>
      <c r="F38" s="55"/>
      <c r="G38" s="9" t="s">
        <v>50</v>
      </c>
      <c r="H38" s="61">
        <f>H26</f>
        <v>1.5</v>
      </c>
      <c r="I38" s="58" t="s">
        <v>40</v>
      </c>
      <c r="J38" s="61">
        <f>J26</f>
        <v>1.5</v>
      </c>
      <c r="K38" s="10">
        <v>2</v>
      </c>
    </row>
    <row r="39" spans="1:14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4" x14ac:dyDescent="0.25">
      <c r="A40" s="55"/>
      <c r="B40" s="58" t="s">
        <v>2</v>
      </c>
      <c r="C40" s="58">
        <f>C36/(C38*E38)</f>
        <v>284.44444444444446</v>
      </c>
      <c r="D40" s="58" t="s">
        <v>54</v>
      </c>
      <c r="E40" s="58">
        <f>G36/((1/6)*H38*J38^2)</f>
        <v>32.444444444444443</v>
      </c>
      <c r="F40" s="58" t="s">
        <v>37</v>
      </c>
      <c r="G40" s="58">
        <f>L37</f>
        <v>32.64</v>
      </c>
      <c r="H40" s="55"/>
      <c r="I40" s="55"/>
      <c r="J40" s="55"/>
    </row>
    <row r="41" spans="1:14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4" x14ac:dyDescent="0.25">
      <c r="A42" s="55"/>
      <c r="B42" s="58" t="s">
        <v>2</v>
      </c>
      <c r="C42" s="290">
        <f>C40-E40+G40</f>
        <v>284.64</v>
      </c>
      <c r="D42" s="290"/>
      <c r="E42" s="56" t="s">
        <v>52</v>
      </c>
      <c r="F42" s="291">
        <v>105</v>
      </c>
      <c r="G42" s="291"/>
      <c r="H42" s="277" t="str">
        <f>IF(C42&lt;=F42,"Save!","Not Save")</f>
        <v>Not Save</v>
      </c>
      <c r="I42" s="277"/>
      <c r="J42" s="55"/>
    </row>
    <row r="44" spans="1:14" x14ac:dyDescent="0.25">
      <c r="A44" s="11" t="s">
        <v>55</v>
      </c>
    </row>
    <row r="45" spans="1:14" x14ac:dyDescent="0.25">
      <c r="C45" s="4"/>
    </row>
    <row r="46" spans="1:14" x14ac:dyDescent="0.25">
      <c r="D46" s="61">
        <f>D70</f>
        <v>0.5</v>
      </c>
    </row>
    <row r="47" spans="1:14" x14ac:dyDescent="0.25">
      <c r="H47" s="58" t="s">
        <v>56</v>
      </c>
      <c r="I47" s="58" t="s">
        <v>2</v>
      </c>
      <c r="J47" s="58">
        <v>75</v>
      </c>
      <c r="K47" s="58" t="s">
        <v>37</v>
      </c>
      <c r="L47" s="58" t="s">
        <v>57</v>
      </c>
    </row>
    <row r="48" spans="1:14" x14ac:dyDescent="0.25">
      <c r="I48" s="58" t="s">
        <v>2</v>
      </c>
      <c r="J48" s="58">
        <v>75</v>
      </c>
      <c r="K48" s="58" t="s">
        <v>37</v>
      </c>
      <c r="L48" s="61">
        <f>'Input Data'!G24/2</f>
        <v>8</v>
      </c>
    </row>
    <row r="49" spans="1:19" x14ac:dyDescent="0.25">
      <c r="I49" s="58" t="s">
        <v>2</v>
      </c>
      <c r="J49" s="61">
        <f>CEILING(J48+L48,1)</f>
        <v>83</v>
      </c>
      <c r="K49" s="58" t="s">
        <v>28</v>
      </c>
    </row>
    <row r="50" spans="1:19" x14ac:dyDescent="0.25">
      <c r="I50" s="58"/>
      <c r="J50" s="61"/>
    </row>
    <row r="51" spans="1:19" x14ac:dyDescent="0.25">
      <c r="H51" s="58" t="s">
        <v>61</v>
      </c>
      <c r="I51" s="58" t="s">
        <v>2</v>
      </c>
      <c r="J51" s="58" t="s">
        <v>12</v>
      </c>
      <c r="K51" s="58" t="s">
        <v>54</v>
      </c>
      <c r="L51" s="58" t="s">
        <v>56</v>
      </c>
    </row>
    <row r="52" spans="1:19" x14ac:dyDescent="0.25">
      <c r="I52" s="58" t="s">
        <v>2</v>
      </c>
      <c r="J52" s="58">
        <f>'Input Data'!G21*1000</f>
        <v>500</v>
      </c>
      <c r="K52" s="58" t="s">
        <v>54</v>
      </c>
      <c r="L52" s="61">
        <f>J49</f>
        <v>83</v>
      </c>
    </row>
    <row r="53" spans="1:19" x14ac:dyDescent="0.25">
      <c r="G53" s="61">
        <f>'Input Data'!G21</f>
        <v>0.5</v>
      </c>
      <c r="I53" s="58" t="s">
        <v>2</v>
      </c>
      <c r="J53" s="61">
        <f>J52-L52</f>
        <v>417</v>
      </c>
      <c r="K53" s="58"/>
      <c r="L53" s="61"/>
    </row>
    <row r="54" spans="1:19" x14ac:dyDescent="0.25">
      <c r="I54" s="58"/>
      <c r="J54" s="61"/>
      <c r="K54" s="58"/>
      <c r="L54" s="61"/>
    </row>
    <row r="55" spans="1:19" x14ac:dyDescent="0.25">
      <c r="C55" s="58" t="s">
        <v>5</v>
      </c>
      <c r="D55" s="58" t="s">
        <v>2</v>
      </c>
      <c r="E55" s="12">
        <f>D57</f>
        <v>1.5</v>
      </c>
      <c r="H55" s="58" t="s">
        <v>58</v>
      </c>
      <c r="I55" s="58" t="s">
        <v>2</v>
      </c>
      <c r="J55" s="58" t="s">
        <v>59</v>
      </c>
      <c r="K55" s="58" t="s">
        <v>54</v>
      </c>
      <c r="L55" s="58" t="s">
        <v>60</v>
      </c>
      <c r="M55" s="58" t="s">
        <v>54</v>
      </c>
      <c r="N55" s="58" t="s">
        <v>61</v>
      </c>
    </row>
    <row r="56" spans="1:19" x14ac:dyDescent="0.25">
      <c r="I56" s="58" t="s">
        <v>2</v>
      </c>
      <c r="J56" s="58">
        <f>(E55/2)*1000</f>
        <v>750</v>
      </c>
      <c r="K56" s="58" t="s">
        <v>54</v>
      </c>
      <c r="L56" s="58">
        <f>(D46/2)*1000</f>
        <v>250</v>
      </c>
      <c r="M56" s="58" t="s">
        <v>54</v>
      </c>
      <c r="N56" s="61">
        <f>J53</f>
        <v>417</v>
      </c>
    </row>
    <row r="57" spans="1:19" x14ac:dyDescent="0.25">
      <c r="D57" s="12">
        <f>'Input Data'!G20</f>
        <v>1.5</v>
      </c>
      <c r="I57" s="58" t="s">
        <v>2</v>
      </c>
      <c r="J57" s="61">
        <f>J56-L56-N56</f>
        <v>83</v>
      </c>
      <c r="K57" s="58" t="s">
        <v>28</v>
      </c>
    </row>
    <row r="58" spans="1:19" x14ac:dyDescent="0.25">
      <c r="I58" s="58" t="s">
        <v>2</v>
      </c>
      <c r="J58" s="58">
        <f>J57/1000</f>
        <v>8.3000000000000004E-2</v>
      </c>
      <c r="K58" s="58" t="s">
        <v>25</v>
      </c>
    </row>
    <row r="60" spans="1:19" x14ac:dyDescent="0.25">
      <c r="H60" s="56" t="s">
        <v>62</v>
      </c>
      <c r="I60" s="58" t="s">
        <v>2</v>
      </c>
      <c r="J60" s="56" t="s">
        <v>63</v>
      </c>
      <c r="K60" s="58" t="s">
        <v>37</v>
      </c>
      <c r="L60" s="58" t="s">
        <v>4</v>
      </c>
      <c r="M60" s="58" t="s">
        <v>54</v>
      </c>
      <c r="N60" s="58" t="s">
        <v>58</v>
      </c>
      <c r="O60" s="58" t="s">
        <v>40</v>
      </c>
      <c r="P60" s="56" t="s">
        <v>64</v>
      </c>
      <c r="Q60" s="58" t="s">
        <v>54</v>
      </c>
      <c r="R60" s="56" t="s">
        <v>63</v>
      </c>
      <c r="S60" s="58" t="s">
        <v>3</v>
      </c>
    </row>
    <row r="62" spans="1:19" x14ac:dyDescent="0.25">
      <c r="I62" s="58" t="s">
        <v>2</v>
      </c>
      <c r="J62" s="57">
        <f>C42</f>
        <v>284.64</v>
      </c>
      <c r="K62" s="58" t="s">
        <v>37</v>
      </c>
      <c r="L62" s="61">
        <f>D57</f>
        <v>1.5</v>
      </c>
      <c r="M62" s="58" t="s">
        <v>54</v>
      </c>
      <c r="N62" s="58">
        <f>J58</f>
        <v>8.3000000000000004E-2</v>
      </c>
      <c r="O62" s="58" t="s">
        <v>40</v>
      </c>
      <c r="P62" s="57">
        <f>C30</f>
        <v>349.5288888888889</v>
      </c>
      <c r="Q62" s="58" t="s">
        <v>54</v>
      </c>
      <c r="R62" s="57">
        <f>C42</f>
        <v>284.64</v>
      </c>
      <c r="S62" s="61">
        <f>D57</f>
        <v>1.5</v>
      </c>
    </row>
    <row r="63" spans="1:19" x14ac:dyDescent="0.25">
      <c r="G63" s="12">
        <f>'Input Data'!G19</f>
        <v>1.5</v>
      </c>
    </row>
    <row r="64" spans="1:19" x14ac:dyDescent="0.25">
      <c r="A64" s="58">
        <f>'Input Data'!G16/1000</f>
        <v>0.5</v>
      </c>
      <c r="I64" s="58" t="s">
        <v>2</v>
      </c>
      <c r="J64" s="13">
        <f>J62+((L62-N62)*(P62-R62)/S62)</f>
        <v>345.93837037037036</v>
      </c>
      <c r="K64" t="s">
        <v>46</v>
      </c>
    </row>
    <row r="67" spans="4:17" x14ac:dyDescent="0.25">
      <c r="H67" t="s">
        <v>65</v>
      </c>
    </row>
    <row r="69" spans="4:17" x14ac:dyDescent="0.25">
      <c r="H69" t="s">
        <v>66</v>
      </c>
      <c r="I69" s="58" t="s">
        <v>2</v>
      </c>
      <c r="J69" s="58" t="s">
        <v>58</v>
      </c>
      <c r="K69" s="58" t="s">
        <v>40</v>
      </c>
      <c r="L69" s="58" t="s">
        <v>4</v>
      </c>
      <c r="M69" s="58" t="s">
        <v>40</v>
      </c>
      <c r="N69" s="56" t="s">
        <v>64</v>
      </c>
      <c r="O69" s="58" t="s">
        <v>37</v>
      </c>
      <c r="P69" s="56" t="s">
        <v>62</v>
      </c>
      <c r="Q69" s="58">
        <v>2</v>
      </c>
    </row>
    <row r="70" spans="4:17" x14ac:dyDescent="0.25">
      <c r="D70" s="58">
        <f>'Input Data'!G17/1000</f>
        <v>0.5</v>
      </c>
    </row>
    <row r="71" spans="4:17" x14ac:dyDescent="0.25">
      <c r="I71" s="58" t="s">
        <v>2</v>
      </c>
      <c r="J71" s="58">
        <f>J58</f>
        <v>8.3000000000000004E-2</v>
      </c>
      <c r="K71" s="58" t="s">
        <v>40</v>
      </c>
      <c r="L71" s="61">
        <f>G63</f>
        <v>1.5</v>
      </c>
      <c r="M71" s="58" t="s">
        <v>40</v>
      </c>
      <c r="N71" s="59">
        <f>C30</f>
        <v>349.5288888888889</v>
      </c>
      <c r="O71" s="58" t="s">
        <v>37</v>
      </c>
      <c r="P71" s="59">
        <f>J64</f>
        <v>345.93837037037036</v>
      </c>
      <c r="Q71" s="58">
        <v>2</v>
      </c>
    </row>
    <row r="73" spans="4:17" x14ac:dyDescent="0.25">
      <c r="I73" s="58" t="s">
        <v>2</v>
      </c>
      <c r="J73" s="13">
        <f>(J71*L71*(N71+P71))/Q71</f>
        <v>43.292836888888885</v>
      </c>
      <c r="K73" s="58" t="s">
        <v>34</v>
      </c>
    </row>
    <row r="76" spans="4:17" x14ac:dyDescent="0.25">
      <c r="D76" s="12">
        <f>D46</f>
        <v>0.5</v>
      </c>
      <c r="E76" s="59">
        <f>G84</f>
        <v>0.41699999999999998</v>
      </c>
      <c r="F76" s="59">
        <f>(D86-(2*E76)-D76)/2</f>
        <v>8.3000000000000018E-2</v>
      </c>
      <c r="I76" t="s">
        <v>67</v>
      </c>
    </row>
    <row r="78" spans="4:17" x14ac:dyDescent="0.25">
      <c r="K78" s="58"/>
      <c r="L78" s="58"/>
      <c r="M78" s="56" t="s">
        <v>9</v>
      </c>
      <c r="N78" s="58"/>
      <c r="O78" s="58"/>
      <c r="P78" s="58"/>
      <c r="Q78" s="58"/>
    </row>
    <row r="79" spans="4:17" x14ac:dyDescent="0.25">
      <c r="I79" s="58" t="s">
        <v>68</v>
      </c>
      <c r="J79" s="58" t="s">
        <v>2</v>
      </c>
      <c r="K79" s="56" t="s">
        <v>69</v>
      </c>
      <c r="L79" s="58" t="s">
        <v>40</v>
      </c>
      <c r="M79" s="58"/>
      <c r="N79" s="58" t="s">
        <v>40</v>
      </c>
      <c r="O79" s="58" t="s">
        <v>4</v>
      </c>
      <c r="P79" s="58" t="s">
        <v>40</v>
      </c>
      <c r="Q79" s="58" t="s">
        <v>61</v>
      </c>
    </row>
    <row r="80" spans="4:17" x14ac:dyDescent="0.25">
      <c r="K80" s="58"/>
      <c r="L80" s="58"/>
      <c r="M80" s="58">
        <v>6</v>
      </c>
      <c r="N80" s="58"/>
      <c r="O80" s="58"/>
      <c r="P80" s="58"/>
      <c r="Q80" s="58"/>
    </row>
    <row r="81" spans="1:18" x14ac:dyDescent="0.25">
      <c r="K81" s="58"/>
      <c r="L81" s="58"/>
      <c r="M81" s="58">
        <f>'Input Data'!G22</f>
        <v>20</v>
      </c>
      <c r="N81" s="58"/>
      <c r="O81" s="58"/>
      <c r="P81" s="58"/>
      <c r="Q81" s="58"/>
    </row>
    <row r="82" spans="1:18" x14ac:dyDescent="0.25">
      <c r="J82" s="58" t="s">
        <v>2</v>
      </c>
      <c r="K82" s="58">
        <v>0.75</v>
      </c>
      <c r="L82" s="58" t="s">
        <v>40</v>
      </c>
      <c r="M82" s="58"/>
      <c r="N82" s="58" t="s">
        <v>40</v>
      </c>
      <c r="O82" s="61">
        <f>G63</f>
        <v>1.5</v>
      </c>
      <c r="P82" s="58" t="s">
        <v>40</v>
      </c>
      <c r="Q82" s="61">
        <f>J53</f>
        <v>417</v>
      </c>
    </row>
    <row r="83" spans="1:18" x14ac:dyDescent="0.25">
      <c r="K83" s="58"/>
      <c r="L83" s="58"/>
      <c r="M83" s="58">
        <f>M80</f>
        <v>6</v>
      </c>
      <c r="N83" s="58"/>
      <c r="O83" s="58"/>
      <c r="P83" s="58"/>
      <c r="Q83" s="58"/>
    </row>
    <row r="84" spans="1:18" x14ac:dyDescent="0.25">
      <c r="G84" s="279">
        <f>J53/1000</f>
        <v>0.41699999999999998</v>
      </c>
      <c r="H84" s="279"/>
    </row>
    <row r="85" spans="1:18" x14ac:dyDescent="0.25">
      <c r="J85" s="58" t="s">
        <v>2</v>
      </c>
      <c r="K85" s="59">
        <f>K82*((M81^0.5)/M83)*O82*Q82</f>
        <v>349.66512998152962</v>
      </c>
      <c r="L85" s="58" t="s">
        <v>34</v>
      </c>
    </row>
    <row r="86" spans="1:18" x14ac:dyDescent="0.25">
      <c r="D86" s="285">
        <f>E55</f>
        <v>1.5</v>
      </c>
      <c r="E86" s="276"/>
      <c r="K86" s="13"/>
    </row>
    <row r="87" spans="1:18" x14ac:dyDescent="0.25">
      <c r="I87" s="58" t="s">
        <v>68</v>
      </c>
      <c r="J87" s="58" t="s">
        <v>2</v>
      </c>
      <c r="K87" s="59">
        <f>K85</f>
        <v>349.66512998152962</v>
      </c>
      <c r="L87" s="58" t="s">
        <v>70</v>
      </c>
      <c r="M87" s="58" t="s">
        <v>66</v>
      </c>
      <c r="N87" s="58" t="s">
        <v>2</v>
      </c>
      <c r="O87" s="59">
        <f>J73</f>
        <v>43.292836888888885</v>
      </c>
      <c r="P87" s="58" t="s">
        <v>71</v>
      </c>
      <c r="Q87" s="277" t="str">
        <f>IF(K87&gt;=O87,"Save!","Not Save")</f>
        <v>Save!</v>
      </c>
      <c r="R87" s="277"/>
    </row>
    <row r="91" spans="1:18" x14ac:dyDescent="0.25">
      <c r="B91" s="28" t="s">
        <v>63</v>
      </c>
      <c r="C91" s="28"/>
      <c r="E91" s="56" t="s">
        <v>62</v>
      </c>
      <c r="G91" s="56" t="s">
        <v>64</v>
      </c>
      <c r="H91" s="56"/>
    </row>
    <row r="92" spans="1:18" x14ac:dyDescent="0.25">
      <c r="B92" s="275">
        <f>C42</f>
        <v>284.64</v>
      </c>
      <c r="C92" s="276"/>
      <c r="D92" s="55"/>
      <c r="E92" s="275">
        <f>J64</f>
        <v>345.93837037037036</v>
      </c>
      <c r="F92" s="276"/>
      <c r="G92" s="275">
        <f>C30</f>
        <v>349.5288888888889</v>
      </c>
      <c r="H92" s="276"/>
    </row>
    <row r="94" spans="1:18" x14ac:dyDescent="0.25">
      <c r="A94" s="11" t="s">
        <v>72</v>
      </c>
    </row>
    <row r="96" spans="1:18" x14ac:dyDescent="0.25">
      <c r="A96" t="s">
        <v>73</v>
      </c>
      <c r="D96" s="58" t="s">
        <v>3</v>
      </c>
      <c r="E96" s="58" t="s">
        <v>2</v>
      </c>
      <c r="F96" s="58">
        <f>'Input Data'!G16</f>
        <v>500</v>
      </c>
      <c r="G96" s="58"/>
    </row>
    <row r="97" spans="1:16" x14ac:dyDescent="0.25">
      <c r="D97" s="58" t="s">
        <v>6</v>
      </c>
      <c r="E97" s="58" t="s">
        <v>2</v>
      </c>
      <c r="F97" s="58">
        <f>'Input Data'!G17</f>
        <v>500</v>
      </c>
      <c r="G97" s="58"/>
    </row>
    <row r="99" spans="1:16" x14ac:dyDescent="0.25">
      <c r="D99" s="58" t="s">
        <v>3</v>
      </c>
      <c r="E99" s="58" t="s">
        <v>37</v>
      </c>
      <c r="F99" s="58" t="s">
        <v>61</v>
      </c>
      <c r="G99" s="58" t="s">
        <v>2</v>
      </c>
      <c r="H99" s="61">
        <f>F96</f>
        <v>500</v>
      </c>
      <c r="I99" s="58" t="s">
        <v>37</v>
      </c>
      <c r="J99" s="61">
        <f>J53</f>
        <v>417</v>
      </c>
      <c r="K99" s="58" t="s">
        <v>2</v>
      </c>
      <c r="L99" s="61">
        <f>H99+J99</f>
        <v>917</v>
      </c>
      <c r="M99" s="58" t="s">
        <v>28</v>
      </c>
      <c r="N99" s="58" t="s">
        <v>2</v>
      </c>
      <c r="O99" s="58">
        <f>L99/1000</f>
        <v>0.91700000000000004</v>
      </c>
      <c r="P99" s="58" t="s">
        <v>25</v>
      </c>
    </row>
    <row r="100" spans="1:16" x14ac:dyDescent="0.25">
      <c r="D100" s="58" t="s">
        <v>6</v>
      </c>
      <c r="E100" s="58" t="s">
        <v>37</v>
      </c>
      <c r="F100" s="58" t="s">
        <v>61</v>
      </c>
      <c r="G100" s="58" t="s">
        <v>2</v>
      </c>
      <c r="H100" s="58">
        <f>F97</f>
        <v>500</v>
      </c>
      <c r="I100" s="58" t="s">
        <v>37</v>
      </c>
      <c r="J100" s="61">
        <f>J53</f>
        <v>417</v>
      </c>
      <c r="K100" s="58" t="s">
        <v>2</v>
      </c>
      <c r="L100" s="61">
        <f>H100+J100</f>
        <v>917</v>
      </c>
      <c r="M100" s="58" t="s">
        <v>28</v>
      </c>
      <c r="N100" s="58" t="s">
        <v>2</v>
      </c>
      <c r="O100" s="58">
        <f>L100/1000</f>
        <v>0.91700000000000004</v>
      </c>
      <c r="P100" s="58" t="s">
        <v>25</v>
      </c>
    </row>
    <row r="102" spans="1:16" x14ac:dyDescent="0.25">
      <c r="A102" t="s">
        <v>74</v>
      </c>
    </row>
    <row r="104" spans="1:16" x14ac:dyDescent="0.25">
      <c r="E104" s="58"/>
      <c r="F104" s="58"/>
      <c r="G104" s="58"/>
      <c r="H104" s="58"/>
      <c r="I104" s="58"/>
      <c r="J104" s="58"/>
      <c r="K104" s="58"/>
      <c r="L104" s="58"/>
      <c r="M104" s="58"/>
      <c r="N104" s="56" t="s">
        <v>64</v>
      </c>
      <c r="O104" s="58" t="s">
        <v>37</v>
      </c>
      <c r="P104" s="56" t="s">
        <v>63</v>
      </c>
    </row>
    <row r="105" spans="1:16" ht="17.25" x14ac:dyDescent="0.25">
      <c r="A105" s="58" t="s">
        <v>75</v>
      </c>
      <c r="B105" s="58" t="s">
        <v>2</v>
      </c>
      <c r="C105" s="14" t="s">
        <v>4</v>
      </c>
      <c r="D105" s="10">
        <v>2</v>
      </c>
      <c r="E105" s="58" t="s">
        <v>54</v>
      </c>
      <c r="F105" s="58" t="s">
        <v>3</v>
      </c>
      <c r="G105" s="58" t="s">
        <v>37</v>
      </c>
      <c r="H105" s="58" t="s">
        <v>61</v>
      </c>
      <c r="I105" s="58" t="s">
        <v>40</v>
      </c>
      <c r="J105" s="58" t="s">
        <v>6</v>
      </c>
      <c r="K105" s="58" t="s">
        <v>37</v>
      </c>
      <c r="L105" s="58" t="s">
        <v>61</v>
      </c>
      <c r="M105" s="55" t="s">
        <v>40</v>
      </c>
      <c r="N105" s="58"/>
      <c r="O105" s="58"/>
      <c r="P105" s="58"/>
    </row>
    <row r="106" spans="1:16" x14ac:dyDescent="0.25"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>
        <v>2</v>
      </c>
      <c r="P106" s="58"/>
    </row>
    <row r="108" spans="1:16" x14ac:dyDescent="0.25">
      <c r="E108" s="58"/>
      <c r="F108" s="58"/>
      <c r="G108" s="58"/>
      <c r="H108" s="58"/>
      <c r="I108" s="58"/>
      <c r="J108" s="57">
        <f>C30</f>
        <v>349.5288888888889</v>
      </c>
      <c r="K108" s="58" t="s">
        <v>37</v>
      </c>
      <c r="L108" s="57">
        <f>C42</f>
        <v>284.64</v>
      </c>
    </row>
    <row r="109" spans="1:16" ht="17.25" x14ac:dyDescent="0.25">
      <c r="B109" s="58" t="s">
        <v>2</v>
      </c>
      <c r="C109" s="15">
        <f>'Input Data'!G19</f>
        <v>1.5</v>
      </c>
      <c r="D109" s="10">
        <v>2</v>
      </c>
      <c r="E109" s="58" t="s">
        <v>54</v>
      </c>
      <c r="F109" s="59">
        <f>O99</f>
        <v>0.91700000000000004</v>
      </c>
      <c r="G109" s="58" t="s">
        <v>40</v>
      </c>
      <c r="H109" s="59">
        <f>O100</f>
        <v>0.91700000000000004</v>
      </c>
      <c r="I109" s="58" t="s">
        <v>40</v>
      </c>
      <c r="J109" s="58"/>
      <c r="K109" s="58"/>
      <c r="L109" s="58"/>
    </row>
    <row r="110" spans="1:16" x14ac:dyDescent="0.25">
      <c r="E110" s="58"/>
      <c r="F110" s="58"/>
      <c r="G110" s="58"/>
      <c r="H110" s="58"/>
      <c r="I110" s="58"/>
      <c r="J110" s="58"/>
      <c r="K110" s="58">
        <v>2</v>
      </c>
      <c r="L110" s="58"/>
    </row>
    <row r="111" spans="1:16" x14ac:dyDescent="0.25">
      <c r="B111" s="58" t="s">
        <v>2</v>
      </c>
      <c r="C111">
        <f>((C109^2)-F109*H109)*((J108+L108)/K110)</f>
        <v>446.80717859555551</v>
      </c>
    </row>
    <row r="113" spans="1:19" x14ac:dyDescent="0.25">
      <c r="C113" s="58" t="s">
        <v>77</v>
      </c>
      <c r="E113" s="58">
        <f>MAX(F96:F97)</f>
        <v>500</v>
      </c>
    </row>
    <row r="114" spans="1:19" x14ac:dyDescent="0.25">
      <c r="A114" s="56" t="s">
        <v>76</v>
      </c>
      <c r="B114" s="58" t="s">
        <v>2</v>
      </c>
      <c r="D114" s="58" t="s">
        <v>2</v>
      </c>
      <c r="E114" s="58"/>
      <c r="F114" s="58" t="s">
        <v>2</v>
      </c>
      <c r="G114" s="59">
        <f>E113/E115</f>
        <v>1</v>
      </c>
    </row>
    <row r="115" spans="1:19" x14ac:dyDescent="0.25">
      <c r="C115" s="58" t="s">
        <v>78</v>
      </c>
      <c r="E115" s="58">
        <f>MIN(F96:F97)</f>
        <v>500</v>
      </c>
    </row>
    <row r="117" spans="1:19" x14ac:dyDescent="0.25">
      <c r="A117" s="58" t="s">
        <v>79</v>
      </c>
      <c r="B117" s="58" t="s">
        <v>2</v>
      </c>
      <c r="C117" s="58">
        <v>2</v>
      </c>
      <c r="D117" s="58" t="s">
        <v>40</v>
      </c>
      <c r="E117" s="58" t="s">
        <v>80</v>
      </c>
      <c r="F117" s="58" t="s">
        <v>37</v>
      </c>
      <c r="G117" s="58" t="s">
        <v>61</v>
      </c>
      <c r="H117" s="58" t="s">
        <v>37</v>
      </c>
      <c r="I117" s="58" t="s">
        <v>77</v>
      </c>
      <c r="J117" s="58" t="s">
        <v>37</v>
      </c>
      <c r="K117" s="58" t="s">
        <v>61</v>
      </c>
    </row>
    <row r="119" spans="1:19" x14ac:dyDescent="0.25">
      <c r="A119" s="58" t="s">
        <v>79</v>
      </c>
      <c r="B119" s="58" t="s">
        <v>2</v>
      </c>
      <c r="C119" s="58">
        <v>2</v>
      </c>
      <c r="D119" s="58" t="s">
        <v>40</v>
      </c>
      <c r="E119" s="58">
        <f>E115</f>
        <v>500</v>
      </c>
      <c r="F119" s="58" t="s">
        <v>37</v>
      </c>
      <c r="G119" s="61">
        <f>J53</f>
        <v>417</v>
      </c>
      <c r="H119" s="58" t="s">
        <v>37</v>
      </c>
      <c r="I119" s="58">
        <f>E113</f>
        <v>500</v>
      </c>
      <c r="J119" s="58" t="s">
        <v>37</v>
      </c>
      <c r="K119" s="61">
        <f>J53</f>
        <v>417</v>
      </c>
    </row>
    <row r="121" spans="1:19" x14ac:dyDescent="0.25">
      <c r="B121" s="58" t="s">
        <v>2</v>
      </c>
      <c r="C121" s="58">
        <f>2*((E119+G119)+(I119+K119))</f>
        <v>3668</v>
      </c>
      <c r="D121" s="58" t="s">
        <v>28</v>
      </c>
    </row>
    <row r="123" spans="1:19" x14ac:dyDescent="0.25">
      <c r="A123" t="s">
        <v>81</v>
      </c>
    </row>
    <row r="125" spans="1:19" x14ac:dyDescent="0.25">
      <c r="M125" s="58">
        <v>2</v>
      </c>
      <c r="O125" s="58" t="s">
        <v>9</v>
      </c>
      <c r="P125" s="58" t="s">
        <v>79</v>
      </c>
      <c r="Q125" s="58" t="s">
        <v>61</v>
      </c>
    </row>
    <row r="126" spans="1:19" x14ac:dyDescent="0.25">
      <c r="A126" s="58"/>
      <c r="B126" s="58"/>
      <c r="C126" s="58"/>
      <c r="D126" s="58"/>
      <c r="E126" s="58"/>
      <c r="F126" s="58"/>
      <c r="G126" s="58"/>
      <c r="I126" s="58" t="s">
        <v>84</v>
      </c>
      <c r="J126" s="58" t="s">
        <v>2</v>
      </c>
      <c r="K126" s="58">
        <v>1</v>
      </c>
      <c r="L126" s="58" t="s">
        <v>37</v>
      </c>
      <c r="M126" s="58"/>
      <c r="N126" s="58" t="s">
        <v>40</v>
      </c>
      <c r="O126" s="58"/>
      <c r="P126" s="58"/>
      <c r="Q126" s="58"/>
      <c r="R126" s="58"/>
      <c r="S126" s="58"/>
    </row>
    <row r="127" spans="1:19" x14ac:dyDescent="0.25">
      <c r="A127" s="58"/>
      <c r="B127" s="58"/>
      <c r="C127" s="58"/>
      <c r="D127" s="58"/>
      <c r="E127" s="58"/>
      <c r="F127" s="58"/>
      <c r="G127" s="58"/>
      <c r="H127" s="282">
        <f>E136</f>
        <v>0.20849999999999999</v>
      </c>
      <c r="I127" s="58"/>
      <c r="J127" s="58"/>
      <c r="K127" s="58"/>
      <c r="L127" s="58"/>
      <c r="M127" s="56" t="s">
        <v>76</v>
      </c>
      <c r="N127" s="58"/>
      <c r="O127" s="58"/>
      <c r="P127" s="58">
        <v>6</v>
      </c>
      <c r="Q127" s="58"/>
      <c r="R127" s="58"/>
      <c r="S127" s="58"/>
    </row>
    <row r="128" spans="1:19" x14ac:dyDescent="0.25">
      <c r="A128" s="58"/>
      <c r="B128" s="58"/>
      <c r="C128" s="58"/>
      <c r="D128" s="58"/>
      <c r="E128" s="58"/>
      <c r="F128" s="58"/>
      <c r="G128" s="58"/>
      <c r="H128" s="283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</row>
    <row r="129" spans="1:21" x14ac:dyDescent="0.25">
      <c r="A129" s="58"/>
      <c r="B129" s="58"/>
      <c r="C129" s="58"/>
      <c r="D129" s="58"/>
      <c r="E129" s="58"/>
      <c r="F129" s="58"/>
      <c r="G129" s="58"/>
      <c r="H129" s="284">
        <f>D136</f>
        <v>0.5</v>
      </c>
      <c r="M129" s="58">
        <v>2</v>
      </c>
      <c r="O129" s="58">
        <f>'Input Data'!G22</f>
        <v>20</v>
      </c>
      <c r="P129" s="58">
        <f>C121</f>
        <v>3668</v>
      </c>
      <c r="Q129" s="61">
        <f>J53</f>
        <v>417</v>
      </c>
      <c r="R129" s="58"/>
      <c r="S129" s="58"/>
    </row>
    <row r="130" spans="1:21" x14ac:dyDescent="0.25">
      <c r="A130" s="58"/>
      <c r="B130" s="58"/>
      <c r="C130" s="58"/>
      <c r="D130" s="58"/>
      <c r="E130" s="58"/>
      <c r="F130" s="58"/>
      <c r="G130" s="58"/>
      <c r="H130" s="283"/>
      <c r="I130" s="58" t="s">
        <v>84</v>
      </c>
      <c r="J130" s="58" t="s">
        <v>2</v>
      </c>
      <c r="K130" s="58">
        <v>1</v>
      </c>
      <c r="L130" s="58" t="s">
        <v>37</v>
      </c>
      <c r="M130" s="58"/>
      <c r="N130" s="58" t="s">
        <v>40</v>
      </c>
      <c r="O130" s="58"/>
      <c r="P130" s="58"/>
      <c r="Q130" s="58"/>
      <c r="R130" s="58"/>
      <c r="S130" s="58"/>
    </row>
    <row r="131" spans="1:21" x14ac:dyDescent="0.25">
      <c r="A131" s="58"/>
      <c r="B131" s="58"/>
      <c r="C131" s="58"/>
      <c r="D131" s="58"/>
      <c r="E131" s="58"/>
      <c r="F131" s="58"/>
      <c r="G131" s="58"/>
      <c r="H131" s="282">
        <f>C136</f>
        <v>0.20849999999999999</v>
      </c>
      <c r="I131" s="58"/>
      <c r="J131" s="58"/>
      <c r="K131" s="58"/>
      <c r="L131" s="58"/>
      <c r="M131" s="57">
        <f>G114</f>
        <v>1</v>
      </c>
      <c r="N131" s="58"/>
      <c r="O131" s="58"/>
      <c r="P131" s="58">
        <v>6</v>
      </c>
      <c r="Q131" s="58"/>
      <c r="R131" s="58"/>
      <c r="S131" s="58"/>
    </row>
    <row r="132" spans="1:21" x14ac:dyDescent="0.25">
      <c r="A132" s="58"/>
      <c r="B132" s="58"/>
      <c r="C132" s="58"/>
      <c r="D132" s="58"/>
      <c r="E132" s="58"/>
      <c r="F132" s="58"/>
      <c r="G132" s="58"/>
      <c r="H132" s="283"/>
      <c r="R132" s="58"/>
      <c r="S132" s="58"/>
    </row>
    <row r="133" spans="1:21" x14ac:dyDescent="0.25">
      <c r="A133" s="58"/>
      <c r="B133" s="58"/>
      <c r="C133" s="58"/>
      <c r="D133" s="58"/>
      <c r="E133" s="58"/>
      <c r="F133" s="58"/>
      <c r="G133" s="58"/>
      <c r="I133" s="58" t="s">
        <v>84</v>
      </c>
      <c r="J133" s="58" t="s">
        <v>2</v>
      </c>
      <c r="K133" s="280">
        <f>(1+(2/M131))*(((O129^0.5)*P129*Q129)/P131)</f>
        <v>3420191.1913926676</v>
      </c>
      <c r="L133" s="280"/>
      <c r="M133" s="58" t="s">
        <v>83</v>
      </c>
      <c r="N133" s="58"/>
      <c r="O133" s="58"/>
      <c r="P133" s="58"/>
      <c r="R133" s="58"/>
      <c r="S133" s="58"/>
    </row>
    <row r="134" spans="1:21" x14ac:dyDescent="0.25">
      <c r="A134" s="58"/>
      <c r="B134" s="58"/>
      <c r="C134" s="58"/>
      <c r="D134" s="58"/>
      <c r="E134" s="58"/>
      <c r="F134" s="58"/>
      <c r="G134" s="58"/>
      <c r="I134" s="58"/>
      <c r="J134" s="58" t="s">
        <v>2</v>
      </c>
      <c r="K134" s="280">
        <f>K133/1000</f>
        <v>3420.1911913926674</v>
      </c>
      <c r="L134" s="280"/>
      <c r="M134" s="58" t="s">
        <v>34</v>
      </c>
      <c r="N134" s="58"/>
      <c r="O134" s="58"/>
      <c r="P134" s="58"/>
      <c r="Q134" s="58"/>
      <c r="R134" s="58"/>
      <c r="S134" s="58"/>
      <c r="T134" s="58"/>
      <c r="U134" s="58"/>
    </row>
    <row r="135" spans="1:21" x14ac:dyDescent="0.25">
      <c r="A135" s="58"/>
      <c r="B135" s="58"/>
      <c r="C135" s="58"/>
      <c r="D135" s="58"/>
      <c r="E135" s="58"/>
      <c r="F135" s="58"/>
      <c r="G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</row>
    <row r="136" spans="1:21" x14ac:dyDescent="0.25">
      <c r="A136" s="281">
        <f>F136</f>
        <v>0.29149999999999998</v>
      </c>
      <c r="B136" s="281"/>
      <c r="C136" s="62">
        <f>E136</f>
        <v>0.20849999999999999</v>
      </c>
      <c r="D136" s="61">
        <f>D76</f>
        <v>0.5</v>
      </c>
      <c r="E136" s="59">
        <f>G143/2</f>
        <v>0.20849999999999999</v>
      </c>
      <c r="F136" s="58">
        <f>(D86-(C136+D136+E136))/2</f>
        <v>0.29149999999999998</v>
      </c>
      <c r="G136" s="58"/>
      <c r="S136" s="58"/>
      <c r="T136" s="58"/>
      <c r="U136" s="58"/>
    </row>
    <row r="137" spans="1:21" x14ac:dyDescent="0.25">
      <c r="A137" s="58"/>
      <c r="B137" s="58"/>
      <c r="C137" s="58"/>
      <c r="D137" s="58"/>
      <c r="E137" s="58"/>
      <c r="F137" s="58"/>
      <c r="G137" s="58"/>
      <c r="M137" s="56" t="s">
        <v>86</v>
      </c>
      <c r="N137" s="58" t="s">
        <v>61</v>
      </c>
      <c r="P137" s="58" t="s">
        <v>9</v>
      </c>
      <c r="Q137" s="58" t="s">
        <v>79</v>
      </c>
      <c r="R137" s="58" t="s">
        <v>61</v>
      </c>
      <c r="S137" s="58"/>
      <c r="T137" s="58"/>
      <c r="U137" s="58"/>
    </row>
    <row r="138" spans="1:21" x14ac:dyDescent="0.25">
      <c r="A138" s="58"/>
      <c r="B138" s="58"/>
      <c r="C138" s="58"/>
      <c r="D138" s="58"/>
      <c r="E138" s="58"/>
      <c r="F138" s="58"/>
      <c r="G138" s="58"/>
      <c r="I138" s="58" t="s">
        <v>85</v>
      </c>
      <c r="J138" s="58" t="s">
        <v>2</v>
      </c>
      <c r="K138" s="58">
        <v>2</v>
      </c>
      <c r="L138" s="58" t="s">
        <v>37</v>
      </c>
      <c r="M138" s="58"/>
      <c r="O138" s="58" t="s">
        <v>40</v>
      </c>
      <c r="P138" s="58"/>
      <c r="Q138" s="58"/>
      <c r="R138" s="58"/>
      <c r="S138" s="58"/>
      <c r="T138" s="58"/>
      <c r="U138" s="58"/>
    </row>
    <row r="139" spans="1:21" x14ac:dyDescent="0.25">
      <c r="A139" s="58"/>
      <c r="B139" s="58"/>
      <c r="C139" s="58"/>
      <c r="D139" s="58"/>
      <c r="E139" s="58"/>
      <c r="F139" s="58"/>
      <c r="G139" s="58"/>
      <c r="I139" s="58"/>
      <c r="J139" s="58"/>
      <c r="K139" s="58"/>
      <c r="L139" s="58"/>
      <c r="M139" s="56" t="s">
        <v>79</v>
      </c>
      <c r="N139" s="56"/>
      <c r="P139" s="58"/>
      <c r="Q139" s="58">
        <v>12</v>
      </c>
      <c r="R139" s="58"/>
      <c r="S139" s="58"/>
      <c r="T139" s="58"/>
      <c r="U139" s="58"/>
    </row>
    <row r="140" spans="1:21" x14ac:dyDescent="0.25">
      <c r="A140" s="58"/>
      <c r="B140" s="58"/>
      <c r="C140" s="58"/>
      <c r="D140" s="58"/>
      <c r="E140" s="58"/>
      <c r="F140" s="58"/>
      <c r="G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</row>
    <row r="141" spans="1:21" x14ac:dyDescent="0.25">
      <c r="A141" s="58"/>
      <c r="B141" s="58"/>
      <c r="C141" s="58"/>
      <c r="D141" s="58"/>
      <c r="E141" s="58"/>
      <c r="F141" s="58"/>
      <c r="G141" s="58"/>
      <c r="M141" s="56">
        <f>'Input Data'!G18</f>
        <v>30</v>
      </c>
      <c r="N141" s="61">
        <f>J53</f>
        <v>417</v>
      </c>
      <c r="P141" s="58">
        <f>'Input Data'!G22</f>
        <v>20</v>
      </c>
      <c r="Q141" s="58">
        <f>C121</f>
        <v>3668</v>
      </c>
      <c r="R141" s="61">
        <f>J53</f>
        <v>417</v>
      </c>
      <c r="S141" s="58"/>
      <c r="T141" s="58"/>
      <c r="U141" s="58"/>
    </row>
    <row r="142" spans="1:21" x14ac:dyDescent="0.25">
      <c r="A142" s="58"/>
      <c r="B142" s="58"/>
      <c r="C142" s="58"/>
      <c r="D142" s="58"/>
      <c r="E142" s="58"/>
      <c r="F142" s="58"/>
      <c r="G142" s="58"/>
      <c r="I142" s="58" t="s">
        <v>85</v>
      </c>
      <c r="J142" s="58" t="s">
        <v>2</v>
      </c>
      <c r="K142" s="58">
        <v>2</v>
      </c>
      <c r="L142" s="58" t="s">
        <v>37</v>
      </c>
      <c r="M142" s="58"/>
      <c r="O142" s="58" t="s">
        <v>40</v>
      </c>
      <c r="P142" s="58"/>
      <c r="Q142" s="58"/>
      <c r="R142" s="58"/>
      <c r="S142" s="58"/>
      <c r="T142" s="58"/>
      <c r="U142" s="58"/>
    </row>
    <row r="143" spans="1:21" x14ac:dyDescent="0.25">
      <c r="A143" s="58"/>
      <c r="B143" s="58"/>
      <c r="C143" s="58"/>
      <c r="D143" s="58"/>
      <c r="E143" s="58"/>
      <c r="F143" s="58"/>
      <c r="G143" s="279">
        <f>G84</f>
        <v>0.41699999999999998</v>
      </c>
      <c r="H143" s="279"/>
      <c r="I143" s="58"/>
      <c r="J143" s="58"/>
      <c r="K143" s="58"/>
      <c r="L143" s="58"/>
      <c r="M143" s="56">
        <f>C121</f>
        <v>3668</v>
      </c>
      <c r="N143" s="56"/>
      <c r="P143" s="58"/>
      <c r="Q143" s="58">
        <v>12</v>
      </c>
      <c r="R143" s="58"/>
      <c r="S143" s="58"/>
      <c r="T143" s="58"/>
      <c r="U143" s="58"/>
    </row>
    <row r="144" spans="1:21" x14ac:dyDescent="0.25">
      <c r="A144" s="58"/>
      <c r="B144" s="58"/>
      <c r="C144" s="58"/>
      <c r="D144" s="58"/>
      <c r="E144" s="58"/>
      <c r="F144" s="58"/>
      <c r="G144" s="58"/>
      <c r="S144" s="58"/>
      <c r="T144" s="58"/>
      <c r="U144" s="58"/>
    </row>
    <row r="145" spans="1:21" x14ac:dyDescent="0.25">
      <c r="A145" s="58"/>
      <c r="B145" s="58"/>
      <c r="C145" s="58"/>
      <c r="D145" s="58"/>
      <c r="E145" s="58"/>
      <c r="F145" s="58"/>
      <c r="G145" s="280">
        <f>L52/1000</f>
        <v>8.3000000000000004E-2</v>
      </c>
      <c r="H145" s="280"/>
      <c r="I145" s="58" t="s">
        <v>85</v>
      </c>
      <c r="J145" s="58" t="s">
        <v>2</v>
      </c>
      <c r="K145" s="280">
        <f>(1+(M141*N141/M143))*(((P141^0.5)*Q141*R141)/Q143)</f>
        <v>2514169.9879294159</v>
      </c>
      <c r="L145" s="280"/>
      <c r="M145" s="58" t="s">
        <v>83</v>
      </c>
      <c r="N145" s="58"/>
      <c r="O145" s="58"/>
      <c r="P145" s="58"/>
      <c r="R145" s="58"/>
      <c r="S145" s="58"/>
      <c r="T145" s="58"/>
      <c r="U145" s="58"/>
    </row>
    <row r="146" spans="1:21" x14ac:dyDescent="0.25">
      <c r="A146" s="58"/>
      <c r="B146" s="58"/>
      <c r="C146" s="278">
        <f>SUM(A136:F136)</f>
        <v>1.5</v>
      </c>
      <c r="D146" s="278"/>
      <c r="E146" s="278"/>
      <c r="F146" s="58"/>
      <c r="G146" s="58"/>
      <c r="I146" s="58"/>
      <c r="J146" s="58" t="s">
        <v>2</v>
      </c>
      <c r="K146" s="280">
        <f>K145/1000</f>
        <v>2514.169987929416</v>
      </c>
      <c r="L146" s="280"/>
      <c r="M146" s="58" t="s">
        <v>34</v>
      </c>
      <c r="N146" s="58"/>
      <c r="O146" s="58"/>
      <c r="P146" s="58"/>
      <c r="Q146" s="58"/>
      <c r="R146" s="58"/>
      <c r="S146" s="58"/>
      <c r="T146" s="58"/>
      <c r="U146" s="58"/>
    </row>
    <row r="147" spans="1:21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</row>
    <row r="148" spans="1:21" x14ac:dyDescent="0.25">
      <c r="A148" s="58"/>
      <c r="B148" s="58"/>
      <c r="C148" s="58"/>
      <c r="D148" s="58"/>
      <c r="E148" s="58"/>
      <c r="F148" s="58"/>
      <c r="G148" s="58"/>
      <c r="Q148" s="58"/>
      <c r="R148" s="58"/>
      <c r="S148" s="58"/>
      <c r="T148" s="58"/>
      <c r="U148" s="58"/>
    </row>
    <row r="149" spans="1:21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>
        <v>1</v>
      </c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</row>
    <row r="150" spans="1:21" x14ac:dyDescent="0.25">
      <c r="A150" s="58"/>
      <c r="B150" s="58"/>
      <c r="C150" s="58"/>
      <c r="D150" s="58"/>
      <c r="E150" s="58"/>
      <c r="F150" s="58"/>
      <c r="G150" s="58"/>
      <c r="H150" s="58" t="s">
        <v>88</v>
      </c>
      <c r="I150" s="58" t="s">
        <v>2</v>
      </c>
      <c r="J150" s="16"/>
      <c r="K150" s="58" t="s">
        <v>40</v>
      </c>
      <c r="L150" s="58" t="s">
        <v>9</v>
      </c>
      <c r="M150" s="58" t="s">
        <v>79</v>
      </c>
      <c r="N150" s="58" t="s">
        <v>61</v>
      </c>
      <c r="O150" s="58"/>
      <c r="P150" s="58"/>
      <c r="Q150" s="58"/>
      <c r="R150" s="58"/>
      <c r="S150" s="58"/>
      <c r="T150" s="58"/>
      <c r="U150" s="58"/>
    </row>
    <row r="151" spans="1:2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>
        <v>3</v>
      </c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</row>
    <row r="152" spans="1:2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>
        <v>1</v>
      </c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</row>
    <row r="153" spans="1:21" x14ac:dyDescent="0.25">
      <c r="B153" s="28" t="s">
        <v>63</v>
      </c>
      <c r="H153" s="58" t="s">
        <v>88</v>
      </c>
      <c r="I153" s="58" t="s">
        <v>2</v>
      </c>
      <c r="J153" s="16"/>
      <c r="K153" s="58" t="s">
        <v>40</v>
      </c>
      <c r="L153" s="58">
        <f>'Input Data'!G22</f>
        <v>20</v>
      </c>
      <c r="M153" s="58">
        <f>C121</f>
        <v>3668</v>
      </c>
      <c r="N153" s="61">
        <f>J53</f>
        <v>417</v>
      </c>
      <c r="T153" s="58"/>
      <c r="U153" s="58"/>
    </row>
    <row r="154" spans="1:21" x14ac:dyDescent="0.25">
      <c r="B154" s="275">
        <f>B92</f>
        <v>284.64</v>
      </c>
      <c r="C154" s="276"/>
      <c r="F154" s="56" t="s">
        <v>64</v>
      </c>
      <c r="H154" s="58"/>
      <c r="I154" s="58"/>
      <c r="J154" s="58">
        <v>3</v>
      </c>
      <c r="K154" s="58"/>
      <c r="L154" s="58"/>
      <c r="M154" s="58"/>
      <c r="N154" s="58"/>
      <c r="T154" s="58"/>
      <c r="U154" s="58"/>
    </row>
    <row r="155" spans="1:21" x14ac:dyDescent="0.25">
      <c r="F155" s="275">
        <f>G92</f>
        <v>349.5288888888889</v>
      </c>
      <c r="G155" s="276"/>
      <c r="T155" s="58"/>
      <c r="U155" s="58"/>
    </row>
    <row r="156" spans="1:21" x14ac:dyDescent="0.25">
      <c r="I156" s="58" t="s">
        <v>2</v>
      </c>
      <c r="J156">
        <f>(1/3)*(L153^0.5)*M153*N153</f>
        <v>2280127.4609284457</v>
      </c>
      <c r="K156" s="58" t="s">
        <v>83</v>
      </c>
      <c r="T156" s="58"/>
      <c r="U156" s="58"/>
    </row>
    <row r="157" spans="1:21" x14ac:dyDescent="0.25">
      <c r="I157" s="58" t="s">
        <v>2</v>
      </c>
      <c r="J157" s="59">
        <f>J156/1000</f>
        <v>2280.1274609284455</v>
      </c>
      <c r="K157" s="58" t="s">
        <v>34</v>
      </c>
      <c r="T157" s="58"/>
      <c r="U157" s="58"/>
    </row>
    <row r="158" spans="1:21" x14ac:dyDescent="0.25">
      <c r="T158" s="58"/>
      <c r="U158" s="58"/>
    </row>
    <row r="159" spans="1:21" x14ac:dyDescent="0.25">
      <c r="A159" s="29" t="s">
        <v>89</v>
      </c>
      <c r="T159" s="58"/>
      <c r="U159" s="58"/>
    </row>
    <row r="160" spans="1:21" x14ac:dyDescent="0.25">
      <c r="T160" s="58"/>
      <c r="U160" s="58"/>
    </row>
    <row r="161" spans="1:18" x14ac:dyDescent="0.25">
      <c r="A161" s="58" t="s">
        <v>84</v>
      </c>
      <c r="B161" s="58" t="s">
        <v>2</v>
      </c>
      <c r="C161" s="59">
        <f>K134</f>
        <v>3420.1911913926674</v>
      </c>
    </row>
    <row r="162" spans="1:18" x14ac:dyDescent="0.25">
      <c r="A162" s="58" t="s">
        <v>85</v>
      </c>
      <c r="B162" s="58" t="s">
        <v>2</v>
      </c>
      <c r="C162" s="59">
        <f>K146</f>
        <v>2514.169987929416</v>
      </c>
      <c r="E162" t="s">
        <v>90</v>
      </c>
    </row>
    <row r="163" spans="1:18" x14ac:dyDescent="0.25">
      <c r="A163" s="58" t="s">
        <v>88</v>
      </c>
      <c r="B163" s="58" t="s">
        <v>2</v>
      </c>
      <c r="C163" s="59">
        <f>J157</f>
        <v>2280.1274609284455</v>
      </c>
    </row>
    <row r="164" spans="1:18" x14ac:dyDescent="0.25">
      <c r="A164" s="58"/>
      <c r="C164" s="17"/>
    </row>
    <row r="165" spans="1:18" x14ac:dyDescent="0.25">
      <c r="A165" s="58" t="s">
        <v>82</v>
      </c>
      <c r="B165" s="58" t="s">
        <v>2</v>
      </c>
      <c r="C165" s="59">
        <f>MIN(C161:C163)</f>
        <v>2280.1274609284455</v>
      </c>
      <c r="D165" s="58" t="s">
        <v>34</v>
      </c>
    </row>
    <row r="166" spans="1:18" x14ac:dyDescent="0.25">
      <c r="A166" s="58" t="s">
        <v>68</v>
      </c>
      <c r="B166" s="58" t="s">
        <v>2</v>
      </c>
      <c r="C166" s="58">
        <v>0.75</v>
      </c>
      <c r="D166" s="58" t="s">
        <v>40</v>
      </c>
      <c r="E166" s="280">
        <f>C165</f>
        <v>2280.1274609284455</v>
      </c>
      <c r="F166" s="280"/>
    </row>
    <row r="167" spans="1:18" x14ac:dyDescent="0.25">
      <c r="A167" s="58"/>
      <c r="B167" s="58" t="s">
        <v>2</v>
      </c>
      <c r="C167" s="59">
        <f>C166*E166</f>
        <v>1710.0955956963342</v>
      </c>
      <c r="D167" s="58" t="s">
        <v>34</v>
      </c>
    </row>
    <row r="168" spans="1:18" x14ac:dyDescent="0.25">
      <c r="A168" s="58"/>
    </row>
    <row r="169" spans="1:18" x14ac:dyDescent="0.25">
      <c r="A169" s="58" t="s">
        <v>68</v>
      </c>
      <c r="B169" s="58" t="s">
        <v>2</v>
      </c>
      <c r="C169" s="59">
        <f>C167</f>
        <v>1710.0955956963342</v>
      </c>
      <c r="D169" s="58" t="s">
        <v>70</v>
      </c>
      <c r="E169" s="58" t="s">
        <v>66</v>
      </c>
      <c r="F169" s="58" t="s">
        <v>2</v>
      </c>
      <c r="G169" s="280">
        <f>C111</f>
        <v>446.80717859555551</v>
      </c>
      <c r="H169" s="280"/>
      <c r="I169" s="58" t="s">
        <v>71</v>
      </c>
      <c r="J169" s="277" t="str">
        <f>IF(C169&gt;=G169,"Save!","Not Save")</f>
        <v>Save!</v>
      </c>
      <c r="K169" s="277"/>
    </row>
    <row r="171" spans="1:18" x14ac:dyDescent="0.25">
      <c r="A171" s="11" t="s">
        <v>91</v>
      </c>
    </row>
    <row r="173" spans="1:18" x14ac:dyDescent="0.25">
      <c r="D173" s="12">
        <f>D136</f>
        <v>0.5</v>
      </c>
      <c r="H173" s="58" t="s">
        <v>56</v>
      </c>
      <c r="I173" s="58" t="s">
        <v>2</v>
      </c>
      <c r="J173" s="58">
        <v>75</v>
      </c>
      <c r="K173" s="58" t="s">
        <v>37</v>
      </c>
      <c r="L173" s="58">
        <f>'Input Data'!G24</f>
        <v>16</v>
      </c>
      <c r="M173" s="58" t="s">
        <v>37</v>
      </c>
      <c r="N173" s="58">
        <f>L173/2</f>
        <v>8</v>
      </c>
      <c r="O173" s="58"/>
      <c r="P173" s="58"/>
      <c r="Q173" s="58"/>
      <c r="R173" s="58"/>
    </row>
    <row r="174" spans="1:18" x14ac:dyDescent="0.25">
      <c r="H174" s="58"/>
      <c r="I174" s="58" t="s">
        <v>2</v>
      </c>
      <c r="J174" s="59">
        <f>J173+L173+N173</f>
        <v>99</v>
      </c>
      <c r="K174" s="58" t="s">
        <v>28</v>
      </c>
      <c r="L174" s="58"/>
      <c r="M174" s="58"/>
      <c r="N174" s="58"/>
    </row>
    <row r="175" spans="1:18" x14ac:dyDescent="0.25">
      <c r="I175" s="56" t="s">
        <v>92</v>
      </c>
      <c r="J175" s="58">
        <f>CEILING(J174,3)/1000</f>
        <v>9.9000000000000005E-2</v>
      </c>
      <c r="K175" s="58" t="s">
        <v>25</v>
      </c>
    </row>
    <row r="176" spans="1:18" x14ac:dyDescent="0.25">
      <c r="E176" s="278">
        <f>E177-(D173/2)</f>
        <v>0.5</v>
      </c>
      <c r="F176" s="278"/>
    </row>
    <row r="177" spans="1:14" x14ac:dyDescent="0.25">
      <c r="E177" s="278">
        <f>D183/2</f>
        <v>0.75</v>
      </c>
      <c r="F177" s="278"/>
      <c r="H177" s="58" t="s">
        <v>61</v>
      </c>
      <c r="I177" s="58" t="s">
        <v>2</v>
      </c>
      <c r="J177" s="58" t="s">
        <v>12</v>
      </c>
      <c r="K177" s="58" t="s">
        <v>54</v>
      </c>
      <c r="L177" s="58" t="s">
        <v>56</v>
      </c>
      <c r="M177" s="58"/>
      <c r="N177" s="58"/>
    </row>
    <row r="178" spans="1:14" x14ac:dyDescent="0.25">
      <c r="H178" s="58"/>
      <c r="I178" s="58" t="s">
        <v>2</v>
      </c>
      <c r="J178" s="61">
        <f>'Input Data'!G21</f>
        <v>0.5</v>
      </c>
      <c r="K178" s="58" t="s">
        <v>54</v>
      </c>
      <c r="L178" s="58">
        <f>J175</f>
        <v>9.9000000000000005E-2</v>
      </c>
      <c r="M178" s="58"/>
      <c r="N178" s="58"/>
    </row>
    <row r="179" spans="1:14" x14ac:dyDescent="0.25">
      <c r="I179" s="58" t="s">
        <v>2</v>
      </c>
      <c r="J179" s="59">
        <f>J178-L178</f>
        <v>0.40100000000000002</v>
      </c>
      <c r="K179" s="58" t="s">
        <v>25</v>
      </c>
    </row>
    <row r="180" spans="1:14" x14ac:dyDescent="0.25">
      <c r="A180" s="61">
        <f>G53</f>
        <v>0.5</v>
      </c>
      <c r="G180" s="13">
        <f>J179</f>
        <v>0.40100000000000002</v>
      </c>
      <c r="I180" s="58" t="s">
        <v>2</v>
      </c>
      <c r="J180" s="58">
        <f>J179*1000</f>
        <v>401</v>
      </c>
      <c r="K180" s="58" t="s">
        <v>28</v>
      </c>
    </row>
    <row r="181" spans="1:14" x14ac:dyDescent="0.25">
      <c r="G181" s="13">
        <f>J175</f>
        <v>9.9000000000000005E-2</v>
      </c>
    </row>
    <row r="182" spans="1:14" x14ac:dyDescent="0.25">
      <c r="J182" s="58" t="s">
        <v>4</v>
      </c>
      <c r="L182" s="58" t="s">
        <v>6</v>
      </c>
    </row>
    <row r="183" spans="1:14" x14ac:dyDescent="0.25">
      <c r="D183" s="12">
        <f>C146</f>
        <v>1.5</v>
      </c>
      <c r="H183" s="58" t="s">
        <v>40</v>
      </c>
      <c r="I183" s="58" t="s">
        <v>2</v>
      </c>
      <c r="K183" s="58" t="s">
        <v>54</v>
      </c>
    </row>
    <row r="184" spans="1:14" x14ac:dyDescent="0.25">
      <c r="J184" s="58">
        <v>2</v>
      </c>
      <c r="L184" s="58">
        <v>2</v>
      </c>
    </row>
    <row r="186" spans="1:14" x14ac:dyDescent="0.25">
      <c r="J186" s="63">
        <f>'Input Data'!G19*1000</f>
        <v>1500</v>
      </c>
      <c r="L186" s="58">
        <f>MAX(F96:F97)</f>
        <v>500</v>
      </c>
    </row>
    <row r="187" spans="1:14" x14ac:dyDescent="0.25">
      <c r="H187" s="58" t="s">
        <v>40</v>
      </c>
      <c r="I187" s="58" t="s">
        <v>2</v>
      </c>
      <c r="K187" s="58" t="s">
        <v>54</v>
      </c>
    </row>
    <row r="188" spans="1:14" x14ac:dyDescent="0.25">
      <c r="J188" s="58">
        <v>2</v>
      </c>
      <c r="L188" s="58">
        <v>2</v>
      </c>
    </row>
    <row r="189" spans="1:14" x14ac:dyDescent="0.25">
      <c r="B189" s="28" t="s">
        <v>63</v>
      </c>
      <c r="D189" s="56" t="s">
        <v>93</v>
      </c>
      <c r="F189" s="56" t="s">
        <v>64</v>
      </c>
      <c r="H189" s="58" t="s">
        <v>40</v>
      </c>
      <c r="I189" s="58" t="s">
        <v>2</v>
      </c>
      <c r="J189" s="58">
        <f>(J186/J188)-(L186/L188)</f>
        <v>500</v>
      </c>
      <c r="K189" s="58" t="s">
        <v>28</v>
      </c>
    </row>
    <row r="190" spans="1:14" x14ac:dyDescent="0.25">
      <c r="B190" s="275">
        <f>B154</f>
        <v>284.64</v>
      </c>
      <c r="C190" s="276"/>
      <c r="D190" s="275">
        <f>C196</f>
        <v>327.89925925925928</v>
      </c>
      <c r="E190" s="276"/>
      <c r="F190" s="275">
        <f>F155</f>
        <v>349.5288888888889</v>
      </c>
      <c r="G190" s="275"/>
      <c r="I190" s="58" t="s">
        <v>2</v>
      </c>
      <c r="J190" s="58">
        <f>J189/1000</f>
        <v>0.5</v>
      </c>
      <c r="K190" s="58" t="s">
        <v>25</v>
      </c>
    </row>
    <row r="192" spans="1:14" x14ac:dyDescent="0.25">
      <c r="A192" s="56" t="s">
        <v>93</v>
      </c>
      <c r="B192" s="58" t="s">
        <v>2</v>
      </c>
      <c r="C192" s="56" t="s">
        <v>63</v>
      </c>
      <c r="D192" s="58" t="s">
        <v>37</v>
      </c>
      <c r="E192" s="58" t="s">
        <v>4</v>
      </c>
      <c r="F192" s="58" t="s">
        <v>54</v>
      </c>
      <c r="G192" s="58" t="s">
        <v>40</v>
      </c>
      <c r="H192" s="58" t="s">
        <v>40</v>
      </c>
      <c r="I192" s="56" t="s">
        <v>64</v>
      </c>
      <c r="J192" s="58" t="s">
        <v>54</v>
      </c>
      <c r="K192" s="56" t="s">
        <v>63</v>
      </c>
      <c r="L192" s="58" t="s">
        <v>4</v>
      </c>
    </row>
    <row r="194" spans="1:13" x14ac:dyDescent="0.25">
      <c r="A194" s="56" t="s">
        <v>93</v>
      </c>
      <c r="B194" s="58" t="s">
        <v>2</v>
      </c>
      <c r="C194" s="57">
        <f>C42</f>
        <v>284.64</v>
      </c>
      <c r="D194" s="58" t="s">
        <v>37</v>
      </c>
      <c r="E194" s="61">
        <f>'Input Data'!G19</f>
        <v>1.5</v>
      </c>
      <c r="F194" s="58" t="s">
        <v>54</v>
      </c>
      <c r="G194" s="58">
        <f>J190</f>
        <v>0.5</v>
      </c>
      <c r="H194" s="58" t="s">
        <v>40</v>
      </c>
      <c r="I194" s="57">
        <f>C30</f>
        <v>349.5288888888889</v>
      </c>
      <c r="J194" s="58" t="s">
        <v>54</v>
      </c>
      <c r="K194" s="57">
        <f>C194</f>
        <v>284.64</v>
      </c>
      <c r="L194" s="61">
        <f>'Input Data'!G19</f>
        <v>1.5</v>
      </c>
    </row>
    <row r="195" spans="1:13" x14ac:dyDescent="0.25">
      <c r="J195" t="s">
        <v>94</v>
      </c>
    </row>
    <row r="196" spans="1:13" x14ac:dyDescent="0.25">
      <c r="B196" s="58" t="s">
        <v>2</v>
      </c>
      <c r="C196" s="59">
        <f>C194+(E194-G194)*(I194-K194)/L194</f>
        <v>327.89925925925928</v>
      </c>
      <c r="D196" t="s">
        <v>33</v>
      </c>
    </row>
    <row r="197" spans="1:13" x14ac:dyDescent="0.25">
      <c r="B197" s="58"/>
      <c r="C197" s="58"/>
    </row>
    <row r="198" spans="1:13" x14ac:dyDescent="0.25">
      <c r="I198" s="56" t="s">
        <v>64</v>
      </c>
      <c r="J198" s="58" t="s">
        <v>54</v>
      </c>
      <c r="K198" s="56" t="s">
        <v>93</v>
      </c>
    </row>
    <row r="199" spans="1:13" ht="17.25" x14ac:dyDescent="0.25">
      <c r="A199" s="58" t="s">
        <v>95</v>
      </c>
      <c r="B199" s="58" t="s">
        <v>2</v>
      </c>
      <c r="C199" s="58">
        <v>0.5</v>
      </c>
      <c r="D199" s="294" t="s">
        <v>93</v>
      </c>
      <c r="E199" s="294"/>
      <c r="F199" s="58" t="s">
        <v>40</v>
      </c>
      <c r="G199" s="10">
        <v>2</v>
      </c>
      <c r="H199" s="58" t="s">
        <v>37</v>
      </c>
      <c r="I199" s="58"/>
      <c r="J199" s="58"/>
      <c r="K199" s="58"/>
      <c r="L199" s="58" t="s">
        <v>40</v>
      </c>
      <c r="M199" s="10">
        <v>2</v>
      </c>
    </row>
    <row r="200" spans="1:13" x14ac:dyDescent="0.25">
      <c r="A200" s="58"/>
      <c r="J200" s="58">
        <v>3</v>
      </c>
    </row>
    <row r="201" spans="1:13" x14ac:dyDescent="0.25">
      <c r="A201" s="58"/>
      <c r="I201" s="57">
        <f>I194</f>
        <v>349.5288888888889</v>
      </c>
      <c r="J201" s="58" t="s">
        <v>54</v>
      </c>
      <c r="K201" s="57">
        <f>C196</f>
        <v>327.89925925925928</v>
      </c>
    </row>
    <row r="202" spans="1:13" ht="17.25" x14ac:dyDescent="0.25">
      <c r="A202" s="58"/>
      <c r="B202" s="58" t="s">
        <v>2</v>
      </c>
      <c r="C202" s="58">
        <v>0.5</v>
      </c>
      <c r="D202" s="295">
        <f>C196</f>
        <v>327.89925925925928</v>
      </c>
      <c r="E202" s="295"/>
      <c r="F202" s="63">
        <f>J190</f>
        <v>0.5</v>
      </c>
      <c r="G202" s="10">
        <v>2</v>
      </c>
      <c r="H202" s="58" t="s">
        <v>37</v>
      </c>
      <c r="I202" s="58"/>
      <c r="J202" s="58"/>
      <c r="K202" s="58"/>
      <c r="L202" s="58">
        <f>J190</f>
        <v>0.5</v>
      </c>
      <c r="M202" s="10">
        <v>2</v>
      </c>
    </row>
    <row r="203" spans="1:13" x14ac:dyDescent="0.25">
      <c r="A203" s="58"/>
      <c r="J203" s="58">
        <v>3</v>
      </c>
    </row>
    <row r="204" spans="1:13" x14ac:dyDescent="0.25">
      <c r="A204" s="58"/>
      <c r="B204" s="58" t="s">
        <v>2</v>
      </c>
      <c r="C204" s="59">
        <f>(C202*D202*F202^2)+(((I201-K201)/J203)*L202^2)</f>
        <v>42.789876543209878</v>
      </c>
      <c r="D204" t="s">
        <v>35</v>
      </c>
    </row>
    <row r="205" spans="1:13" x14ac:dyDescent="0.25">
      <c r="A205" s="58"/>
    </row>
    <row r="206" spans="1:13" x14ac:dyDescent="0.25">
      <c r="A206" s="58"/>
      <c r="D206" s="279" t="s">
        <v>95</v>
      </c>
      <c r="E206" s="279"/>
      <c r="F206" s="279"/>
    </row>
    <row r="207" spans="1:13" x14ac:dyDescent="0.25">
      <c r="A207" s="58" t="s">
        <v>96</v>
      </c>
      <c r="B207" s="58" t="s">
        <v>2</v>
      </c>
    </row>
    <row r="208" spans="1:13" ht="17.25" x14ac:dyDescent="0.25">
      <c r="C208" s="56" t="s">
        <v>69</v>
      </c>
      <c r="D208" s="58" t="s">
        <v>40</v>
      </c>
      <c r="E208" s="58" t="s">
        <v>3</v>
      </c>
      <c r="F208" s="58" t="s">
        <v>40</v>
      </c>
      <c r="G208" s="58" t="s">
        <v>61</v>
      </c>
      <c r="H208" s="10">
        <v>2</v>
      </c>
    </row>
    <row r="210" spans="1:15" x14ac:dyDescent="0.25">
      <c r="A210" s="58"/>
      <c r="D210" s="280">
        <f>C204*10^6</f>
        <v>42789876.543209881</v>
      </c>
      <c r="E210" s="279"/>
      <c r="F210" s="279"/>
    </row>
    <row r="211" spans="1:15" x14ac:dyDescent="0.25">
      <c r="A211" s="58"/>
      <c r="B211" s="58" t="s">
        <v>2</v>
      </c>
    </row>
    <row r="212" spans="1:15" ht="17.25" x14ac:dyDescent="0.25">
      <c r="C212" s="56">
        <v>0.8</v>
      </c>
      <c r="D212" s="58" t="s">
        <v>40</v>
      </c>
      <c r="E212" s="58">
        <f>1000</f>
        <v>1000</v>
      </c>
      <c r="F212" s="58" t="s">
        <v>40</v>
      </c>
      <c r="G212" s="58">
        <f>J180</f>
        <v>401</v>
      </c>
      <c r="H212" s="10">
        <v>2</v>
      </c>
    </row>
    <row r="214" spans="1:15" x14ac:dyDescent="0.25">
      <c r="A214" s="58"/>
      <c r="B214" s="58" t="s">
        <v>2</v>
      </c>
      <c r="C214" s="59">
        <f>D210/(C212*E212*G212^2)</f>
        <v>0.33263067816128228</v>
      </c>
      <c r="D214" s="58" t="s">
        <v>29</v>
      </c>
    </row>
    <row r="216" spans="1:15" x14ac:dyDescent="0.25">
      <c r="C216" s="58">
        <v>382.5</v>
      </c>
      <c r="D216" s="58" t="s">
        <v>40</v>
      </c>
      <c r="E216" s="58">
        <v>0.85</v>
      </c>
      <c r="F216" s="58" t="s">
        <v>40</v>
      </c>
      <c r="G216" s="58">
        <v>600</v>
      </c>
      <c r="H216" s="58" t="s">
        <v>37</v>
      </c>
      <c r="I216" s="58" t="s">
        <v>98</v>
      </c>
      <c r="J216" s="58" t="s">
        <v>54</v>
      </c>
      <c r="K216" s="58">
        <v>225</v>
      </c>
      <c r="L216" s="58" t="s">
        <v>40</v>
      </c>
      <c r="M216" s="56" t="s">
        <v>99</v>
      </c>
      <c r="N216" s="58" t="s">
        <v>9</v>
      </c>
      <c r="O216" s="58"/>
    </row>
    <row r="217" spans="1:15" x14ac:dyDescent="0.25">
      <c r="A217" s="58" t="s">
        <v>97</v>
      </c>
      <c r="B217" s="58" t="s">
        <v>2</v>
      </c>
    </row>
    <row r="218" spans="1:15" ht="17.25" x14ac:dyDescent="0.25">
      <c r="G218" s="58">
        <v>600</v>
      </c>
      <c r="H218" s="58" t="s">
        <v>37</v>
      </c>
      <c r="I218" s="58" t="s">
        <v>98</v>
      </c>
      <c r="J218" s="10">
        <v>2</v>
      </c>
    </row>
    <row r="220" spans="1:15" x14ac:dyDescent="0.25">
      <c r="C220" s="58">
        <v>382.5</v>
      </c>
      <c r="D220" s="58" t="s">
        <v>40</v>
      </c>
      <c r="E220" s="58">
        <v>0.85</v>
      </c>
      <c r="F220" s="58" t="s">
        <v>40</v>
      </c>
      <c r="G220" s="58">
        <v>600</v>
      </c>
      <c r="H220" s="58" t="s">
        <v>37</v>
      </c>
      <c r="I220" s="58">
        <f>'Input Data'!G23</f>
        <v>320</v>
      </c>
      <c r="J220" s="58" t="s">
        <v>54</v>
      </c>
      <c r="K220" s="58">
        <v>225</v>
      </c>
      <c r="L220" s="58" t="s">
        <v>40</v>
      </c>
      <c r="M220" s="56">
        <f>E220</f>
        <v>0.85</v>
      </c>
      <c r="N220" s="58">
        <f>'Input Data'!G22</f>
        <v>20</v>
      </c>
    </row>
    <row r="221" spans="1:15" x14ac:dyDescent="0.25">
      <c r="A221" s="58" t="s">
        <v>97</v>
      </c>
      <c r="B221" s="58" t="s">
        <v>2</v>
      </c>
    </row>
    <row r="222" spans="1:15" ht="17.25" x14ac:dyDescent="0.25">
      <c r="G222" s="58">
        <v>600</v>
      </c>
      <c r="H222" s="58" t="s">
        <v>37</v>
      </c>
      <c r="I222" s="58">
        <f>'Input Data'!G23</f>
        <v>320</v>
      </c>
      <c r="J222" s="10">
        <v>2</v>
      </c>
    </row>
    <row r="224" spans="1:15" x14ac:dyDescent="0.25">
      <c r="B224" s="58" t="s">
        <v>2</v>
      </c>
      <c r="C224" s="59">
        <f>(C220*E220*(G220+I220-(K220*M220))*N220)/((G222+I222)^2)</f>
        <v>5.5986494269848768</v>
      </c>
      <c r="D224" s="58" t="s">
        <v>29</v>
      </c>
    </row>
    <row r="226" spans="1:14" x14ac:dyDescent="0.25">
      <c r="A226" s="58" t="s">
        <v>96</v>
      </c>
      <c r="B226" s="58" t="s">
        <v>100</v>
      </c>
      <c r="C226" s="58" t="s">
        <v>97</v>
      </c>
      <c r="D226" s="58"/>
      <c r="J226" s="58"/>
      <c r="K226" s="58"/>
      <c r="L226" s="58"/>
      <c r="M226" s="58"/>
      <c r="N226" s="58"/>
    </row>
    <row r="227" spans="1:14" x14ac:dyDescent="0.25">
      <c r="A227" s="58" t="s">
        <v>96</v>
      </c>
      <c r="B227" s="58" t="s">
        <v>2</v>
      </c>
      <c r="C227" s="59">
        <f>C214</f>
        <v>0.33263067816128228</v>
      </c>
      <c r="D227" s="18" t="s">
        <v>100</v>
      </c>
      <c r="E227" s="58" t="s">
        <v>97</v>
      </c>
      <c r="F227" s="58" t="s">
        <v>2</v>
      </c>
      <c r="G227" s="59">
        <f>C224</f>
        <v>5.5986494269848768</v>
      </c>
      <c r="H227" t="s">
        <v>71</v>
      </c>
      <c r="I227" s="277" t="str">
        <f>IF(C227&lt;=G227,"OK!","NOK!")</f>
        <v>OK!</v>
      </c>
      <c r="J227" s="277"/>
      <c r="K227" s="58"/>
      <c r="L227" s="58"/>
      <c r="M227" s="58"/>
      <c r="N227" s="58"/>
    </row>
    <row r="228" spans="1:14" x14ac:dyDescent="0.25">
      <c r="H228" s="58"/>
      <c r="I228" s="58"/>
      <c r="J228" s="58"/>
      <c r="K228" s="58"/>
      <c r="L228" s="58"/>
      <c r="M228" s="58"/>
      <c r="N228" s="58"/>
    </row>
    <row r="229" spans="1:14" x14ac:dyDescent="0.25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</row>
    <row r="230" spans="1:14" x14ac:dyDescent="0.25">
      <c r="A230" s="58"/>
      <c r="B230" s="58"/>
      <c r="C230" s="58"/>
      <c r="D230" s="58"/>
      <c r="E230" s="58"/>
      <c r="F230" s="58"/>
      <c r="G230" s="58">
        <v>2</v>
      </c>
      <c r="H230" s="58" t="s">
        <v>40</v>
      </c>
      <c r="I230" s="58" t="s">
        <v>96</v>
      </c>
      <c r="J230" s="58"/>
      <c r="L230" s="58"/>
      <c r="M230" s="58"/>
      <c r="N230" s="58"/>
    </row>
    <row r="231" spans="1:14" x14ac:dyDescent="0.25">
      <c r="A231" s="58" t="s">
        <v>256</v>
      </c>
      <c r="B231" s="58" t="s">
        <v>2</v>
      </c>
      <c r="C231" s="58">
        <v>1</v>
      </c>
      <c r="D231" s="58" t="s">
        <v>54</v>
      </c>
      <c r="E231" s="58">
        <v>1</v>
      </c>
      <c r="F231" s="58" t="s">
        <v>54</v>
      </c>
      <c r="G231" s="58"/>
      <c r="H231" s="58"/>
      <c r="I231" s="58"/>
      <c r="J231" s="58" t="s">
        <v>61</v>
      </c>
      <c r="L231" s="58"/>
    </row>
    <row r="232" spans="1:14" x14ac:dyDescent="0.25">
      <c r="A232" s="58"/>
      <c r="B232" s="58"/>
      <c r="C232" s="58"/>
      <c r="D232" s="58"/>
      <c r="E232" s="58"/>
      <c r="F232" s="58"/>
      <c r="G232" s="58">
        <v>0.85</v>
      </c>
      <c r="H232" s="58" t="s">
        <v>40</v>
      </c>
      <c r="I232" s="58" t="s">
        <v>9</v>
      </c>
      <c r="J232" s="58"/>
      <c r="L232" s="58"/>
    </row>
    <row r="233" spans="1:14" x14ac:dyDescent="0.25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</row>
    <row r="234" spans="1:14" x14ac:dyDescent="0.25">
      <c r="A234" s="58"/>
      <c r="B234" s="58"/>
      <c r="C234" s="58"/>
      <c r="D234" s="58"/>
      <c r="E234" s="58"/>
      <c r="F234" s="58"/>
      <c r="G234" s="58">
        <v>2</v>
      </c>
      <c r="H234" s="58" t="s">
        <v>40</v>
      </c>
      <c r="I234" s="59">
        <f>C214</f>
        <v>0.33263067816128228</v>
      </c>
      <c r="J234" s="58"/>
    </row>
    <row r="235" spans="1:14" x14ac:dyDescent="0.25">
      <c r="A235" s="58"/>
      <c r="B235" s="58" t="s">
        <v>2</v>
      </c>
      <c r="C235" s="58">
        <v>1</v>
      </c>
      <c r="D235" s="58" t="s">
        <v>54</v>
      </c>
      <c r="E235" s="58">
        <v>1</v>
      </c>
      <c r="F235" s="58" t="s">
        <v>54</v>
      </c>
      <c r="G235" s="58"/>
      <c r="H235" s="58"/>
      <c r="I235" s="58"/>
      <c r="J235" s="58">
        <f>J180</f>
        <v>401</v>
      </c>
    </row>
    <row r="236" spans="1:14" x14ac:dyDescent="0.25">
      <c r="C236" s="58"/>
      <c r="D236" s="58"/>
      <c r="E236" s="58"/>
      <c r="F236" s="58"/>
      <c r="G236" s="58">
        <v>0.85</v>
      </c>
      <c r="H236" s="58" t="s">
        <v>40</v>
      </c>
      <c r="I236" s="58">
        <f>'Input Data'!G22</f>
        <v>20</v>
      </c>
      <c r="J236" s="58"/>
    </row>
    <row r="238" spans="1:14" x14ac:dyDescent="0.25">
      <c r="B238" s="58" t="s">
        <v>2</v>
      </c>
      <c r="C238" s="59">
        <f>(C235-((E235-((G234*I234)/(G236*I236)))^0.5))*J235</f>
        <v>7.9244715114068907</v>
      </c>
      <c r="D238" s="58" t="s">
        <v>28</v>
      </c>
    </row>
    <row r="240" spans="1:14" x14ac:dyDescent="0.25">
      <c r="C240" s="58">
        <v>0.85</v>
      </c>
      <c r="D240" s="58" t="s">
        <v>40</v>
      </c>
      <c r="E240" s="58" t="s">
        <v>9</v>
      </c>
      <c r="F240" s="58" t="s">
        <v>40</v>
      </c>
      <c r="G240" s="58" t="s">
        <v>256</v>
      </c>
      <c r="H240" s="58" t="s">
        <v>40</v>
      </c>
      <c r="I240" s="58" t="s">
        <v>3</v>
      </c>
    </row>
    <row r="241" spans="1:10" x14ac:dyDescent="0.25">
      <c r="A241" t="s">
        <v>103</v>
      </c>
      <c r="B241" s="58" t="s">
        <v>2</v>
      </c>
    </row>
    <row r="242" spans="1:10" x14ac:dyDescent="0.25">
      <c r="B242" s="58"/>
      <c r="C242" s="58"/>
      <c r="D242" s="58"/>
      <c r="E242" s="58"/>
      <c r="F242" s="58" t="s">
        <v>98</v>
      </c>
      <c r="G242" s="58"/>
      <c r="H242" s="58"/>
      <c r="I242" s="58"/>
      <c r="J242" s="58"/>
    </row>
    <row r="244" spans="1:10" x14ac:dyDescent="0.25">
      <c r="C244" s="58">
        <v>0.85</v>
      </c>
      <c r="D244" s="58" t="s">
        <v>40</v>
      </c>
      <c r="E244" s="58">
        <f>'Input Data'!G22</f>
        <v>20</v>
      </c>
      <c r="F244" s="58" t="s">
        <v>40</v>
      </c>
      <c r="G244" s="59">
        <f>C238</f>
        <v>7.9244715114068907</v>
      </c>
      <c r="H244" s="58" t="s">
        <v>40</v>
      </c>
      <c r="I244" s="58">
        <f>1000</f>
        <v>1000</v>
      </c>
    </row>
    <row r="245" spans="1:10" x14ac:dyDescent="0.25">
      <c r="B245" s="58" t="s">
        <v>2</v>
      </c>
    </row>
    <row r="246" spans="1:10" x14ac:dyDescent="0.25">
      <c r="B246" s="58"/>
      <c r="C246" s="58"/>
      <c r="D246" s="58"/>
      <c r="E246" s="58"/>
      <c r="F246" s="58">
        <f>'Input Data'!G23</f>
        <v>320</v>
      </c>
      <c r="G246" s="58"/>
      <c r="H246" s="58"/>
      <c r="I246" s="58"/>
    </row>
    <row r="247" spans="1:10" x14ac:dyDescent="0.25">
      <c r="B247" s="58" t="s">
        <v>2</v>
      </c>
      <c r="C247" s="59">
        <f>(C244*E244*G244*I244)/F246</f>
        <v>420.98754904349107</v>
      </c>
      <c r="D247" s="58" t="s">
        <v>101</v>
      </c>
    </row>
    <row r="248" spans="1:10" x14ac:dyDescent="0.25">
      <c r="B248" s="58"/>
      <c r="C248" s="59"/>
      <c r="D248" s="58"/>
    </row>
    <row r="249" spans="1:10" x14ac:dyDescent="0.25">
      <c r="A249" s="48" t="s">
        <v>157</v>
      </c>
      <c r="B249" s="49"/>
      <c r="C249" s="49"/>
      <c r="D249" s="49"/>
      <c r="E249" s="49"/>
      <c r="F249" s="49"/>
      <c r="G249" s="49"/>
      <c r="H249" s="49"/>
      <c r="I249" s="49"/>
    </row>
    <row r="250" spans="1:10" x14ac:dyDescent="0.25">
      <c r="A250" s="42" t="s">
        <v>9</v>
      </c>
      <c r="B250" s="43" t="s">
        <v>52</v>
      </c>
      <c r="C250" s="42">
        <v>31.36</v>
      </c>
      <c r="D250" s="42" t="s">
        <v>29</v>
      </c>
      <c r="E250" s="49"/>
      <c r="F250" s="49"/>
      <c r="G250" s="49"/>
      <c r="H250" s="49"/>
      <c r="I250" s="49"/>
    </row>
    <row r="251" spans="1:10" x14ac:dyDescent="0.25">
      <c r="A251" s="48" t="s">
        <v>158</v>
      </c>
      <c r="B251" s="50"/>
      <c r="C251" s="48"/>
      <c r="D251" s="48"/>
      <c r="E251" s="51"/>
      <c r="F251" s="48"/>
      <c r="G251" s="49"/>
      <c r="H251" s="49"/>
      <c r="I251" s="49"/>
    </row>
    <row r="252" spans="1:10" x14ac:dyDescent="0.25">
      <c r="A252" s="44"/>
      <c r="B252" s="44"/>
      <c r="C252" s="42">
        <v>1.4</v>
      </c>
      <c r="D252" s="42" t="s">
        <v>102</v>
      </c>
      <c r="E252" s="42" t="s">
        <v>3</v>
      </c>
      <c r="F252" s="42" t="s">
        <v>40</v>
      </c>
      <c r="G252" s="42" t="s">
        <v>61</v>
      </c>
      <c r="H252" s="49"/>
      <c r="I252" s="49"/>
    </row>
    <row r="253" spans="1:10" x14ac:dyDescent="0.25">
      <c r="A253" s="42" t="s">
        <v>106</v>
      </c>
      <c r="B253" s="43" t="s">
        <v>159</v>
      </c>
      <c r="C253" s="44"/>
      <c r="D253" s="44"/>
      <c r="E253" s="44"/>
      <c r="F253" s="44"/>
      <c r="G253" s="44"/>
      <c r="H253" s="49" t="s">
        <v>161</v>
      </c>
      <c r="I253" s="49" t="s">
        <v>162</v>
      </c>
    </row>
    <row r="254" spans="1:10" x14ac:dyDescent="0.25">
      <c r="A254" s="44"/>
      <c r="B254" s="44"/>
      <c r="C254" s="44"/>
      <c r="D254" s="44"/>
      <c r="E254" s="42" t="s">
        <v>98</v>
      </c>
      <c r="F254" s="44"/>
      <c r="G254" s="44"/>
      <c r="H254" s="49"/>
      <c r="I254" s="49"/>
      <c r="J254" s="52" t="s">
        <v>156</v>
      </c>
    </row>
    <row r="255" spans="1:10" x14ac:dyDescent="0.25">
      <c r="A255" s="49"/>
      <c r="B255" s="49"/>
      <c r="C255" s="49"/>
      <c r="D255" s="49"/>
      <c r="E255" s="48"/>
      <c r="F255" s="49"/>
      <c r="G255" s="49"/>
      <c r="H255" s="49"/>
      <c r="I255" s="49"/>
    </row>
    <row r="256" spans="1:10" x14ac:dyDescent="0.25">
      <c r="A256" s="48" t="s">
        <v>157</v>
      </c>
      <c r="B256" s="49"/>
      <c r="C256" s="49"/>
      <c r="D256" s="49"/>
      <c r="E256" s="49"/>
      <c r="F256" s="49"/>
      <c r="G256" s="49"/>
      <c r="H256" s="49"/>
      <c r="I256" s="49"/>
    </row>
    <row r="257" spans="1:18" x14ac:dyDescent="0.25">
      <c r="A257" s="45" t="s">
        <v>9</v>
      </c>
      <c r="B257" s="47" t="s">
        <v>70</v>
      </c>
      <c r="C257" s="45">
        <v>31.36</v>
      </c>
      <c r="D257" s="45" t="s">
        <v>29</v>
      </c>
      <c r="E257" s="49"/>
      <c r="F257" s="49"/>
      <c r="G257" s="49"/>
      <c r="H257" s="49"/>
      <c r="I257" s="49"/>
    </row>
    <row r="258" spans="1:18" x14ac:dyDescent="0.25">
      <c r="A258" s="48" t="s">
        <v>158</v>
      </c>
      <c r="B258" s="50"/>
      <c r="C258" s="48"/>
      <c r="D258" s="48"/>
      <c r="E258" s="51"/>
      <c r="F258" s="48"/>
      <c r="G258" s="49"/>
      <c r="H258" s="49"/>
      <c r="I258" s="49"/>
    </row>
    <row r="259" spans="1:18" x14ac:dyDescent="0.25">
      <c r="A259" s="46"/>
      <c r="B259" s="46"/>
      <c r="C259" s="45" t="s">
        <v>9</v>
      </c>
      <c r="D259" s="45" t="s">
        <v>102</v>
      </c>
      <c r="E259" s="45" t="s">
        <v>3</v>
      </c>
      <c r="F259" s="45" t="s">
        <v>40</v>
      </c>
      <c r="G259" s="45" t="s">
        <v>61</v>
      </c>
      <c r="H259" s="49"/>
      <c r="I259" s="49"/>
    </row>
    <row r="260" spans="1:18" x14ac:dyDescent="0.25">
      <c r="A260" s="45" t="s">
        <v>106</v>
      </c>
      <c r="B260" s="45" t="s">
        <v>2</v>
      </c>
      <c r="C260" s="46"/>
      <c r="D260" s="46"/>
      <c r="E260" s="46"/>
      <c r="F260" s="46"/>
      <c r="G260" s="46"/>
      <c r="H260" s="49" t="s">
        <v>161</v>
      </c>
      <c r="I260" s="49" t="s">
        <v>163</v>
      </c>
    </row>
    <row r="261" spans="1:18" x14ac:dyDescent="0.25">
      <c r="A261" s="46"/>
      <c r="B261" s="46"/>
      <c r="C261" s="46"/>
      <c r="D261" s="46">
        <v>4</v>
      </c>
      <c r="E261" s="45" t="s">
        <v>98</v>
      </c>
      <c r="F261" s="46"/>
      <c r="G261" s="46"/>
      <c r="H261" s="49"/>
      <c r="I261" s="49"/>
      <c r="J261" s="52" t="s">
        <v>156</v>
      </c>
      <c r="K261" s="58"/>
    </row>
    <row r="262" spans="1:18" x14ac:dyDescent="0.25">
      <c r="E262" s="58"/>
    </row>
    <row r="263" spans="1:18" x14ac:dyDescent="0.25">
      <c r="A263" s="58" t="s">
        <v>160</v>
      </c>
      <c r="B263" s="58" t="s">
        <v>2</v>
      </c>
      <c r="C263" s="58">
        <f>'Input Data'!G22</f>
        <v>20</v>
      </c>
      <c r="D263" s="58" t="str">
        <f>IF(C250&gt;C263,"&lt;","&gt;")</f>
        <v>&lt;</v>
      </c>
      <c r="E263" s="58">
        <f>C250</f>
        <v>31.36</v>
      </c>
    </row>
    <row r="264" spans="1:18" x14ac:dyDescent="0.25">
      <c r="A264" s="58"/>
      <c r="B264" s="58"/>
      <c r="C264" s="55" t="s">
        <v>164</v>
      </c>
      <c r="E264" s="58"/>
      <c r="I264" s="35" t="str">
        <f>IF(C263&lt;E263,I253,I260)</f>
        <v>(R.1)</v>
      </c>
    </row>
    <row r="265" spans="1:18" x14ac:dyDescent="0.25">
      <c r="A265" s="58"/>
      <c r="B265" s="58"/>
      <c r="E265" s="58"/>
    </row>
    <row r="267" spans="1:18" x14ac:dyDescent="0.25">
      <c r="C267" s="58">
        <v>1.4</v>
      </c>
      <c r="D267" s="58" t="s">
        <v>102</v>
      </c>
      <c r="E267" s="58" t="s">
        <v>3</v>
      </c>
      <c r="F267" s="58" t="s">
        <v>40</v>
      </c>
      <c r="G267" s="58" t="s">
        <v>61</v>
      </c>
      <c r="J267" s="49"/>
      <c r="K267" s="49"/>
      <c r="L267" s="48" t="s">
        <v>9</v>
      </c>
      <c r="M267" s="48" t="s">
        <v>102</v>
      </c>
      <c r="N267" s="48" t="s">
        <v>3</v>
      </c>
      <c r="O267" s="48" t="s">
        <v>40</v>
      </c>
      <c r="P267" s="48" t="s">
        <v>61</v>
      </c>
    </row>
    <row r="268" spans="1:18" x14ac:dyDescent="0.25">
      <c r="A268" s="58" t="s">
        <v>104</v>
      </c>
      <c r="B268" s="58" t="s">
        <v>2</v>
      </c>
      <c r="H268" s="58" t="s">
        <v>141</v>
      </c>
      <c r="I268" s="49" t="s">
        <v>162</v>
      </c>
      <c r="J268" s="48" t="s">
        <v>165</v>
      </c>
      <c r="K268" s="48" t="s">
        <v>2</v>
      </c>
      <c r="L268" s="49"/>
      <c r="M268" s="49"/>
      <c r="N268" s="49"/>
      <c r="O268" s="49"/>
      <c r="P268" s="49"/>
      <c r="Q268" s="58" t="s">
        <v>141</v>
      </c>
      <c r="R268" s="49" t="s">
        <v>163</v>
      </c>
    </row>
    <row r="269" spans="1:18" x14ac:dyDescent="0.25">
      <c r="E269" s="58" t="s">
        <v>98</v>
      </c>
      <c r="J269" s="49"/>
      <c r="K269" s="49"/>
      <c r="L269" s="49"/>
      <c r="M269" s="49">
        <v>4</v>
      </c>
      <c r="N269" s="48" t="s">
        <v>98</v>
      </c>
      <c r="O269" s="49"/>
      <c r="P269" s="49"/>
    </row>
    <row r="271" spans="1:18" x14ac:dyDescent="0.25">
      <c r="C271" s="58">
        <f>'kontrol program'!D16</f>
        <v>1.4</v>
      </c>
      <c r="D271" s="58" t="s">
        <v>102</v>
      </c>
      <c r="E271" s="58">
        <f>'kontrol program'!F16</f>
        <v>1000</v>
      </c>
      <c r="F271" s="58" t="s">
        <v>40</v>
      </c>
      <c r="G271" s="58">
        <f>'kontrol program'!H16</f>
        <v>401</v>
      </c>
      <c r="K271" s="53"/>
      <c r="L271" s="48">
        <f>'kontrol program'!M16</f>
        <v>0</v>
      </c>
      <c r="M271" s="48" t="s">
        <v>102</v>
      </c>
      <c r="N271" s="48">
        <f>'kontrol program'!O16</f>
        <v>0</v>
      </c>
      <c r="O271" s="48" t="s">
        <v>40</v>
      </c>
      <c r="P271" s="48">
        <f>'kontrol program'!Q16</f>
        <v>0</v>
      </c>
    </row>
    <row r="272" spans="1:18" x14ac:dyDescent="0.25">
      <c r="B272" s="58" t="s">
        <v>2</v>
      </c>
      <c r="K272" s="58" t="s">
        <v>2</v>
      </c>
      <c r="L272" s="49"/>
      <c r="M272" s="49"/>
      <c r="N272" s="49"/>
      <c r="O272" s="49"/>
      <c r="P272" s="49"/>
    </row>
    <row r="273" spans="1:16" x14ac:dyDescent="0.25">
      <c r="E273" s="58">
        <f>'kontrol program'!F18</f>
        <v>320</v>
      </c>
      <c r="L273" s="49"/>
      <c r="M273" s="49">
        <v>4</v>
      </c>
      <c r="N273" s="48">
        <f>'kontrol program'!O18</f>
        <v>0</v>
      </c>
      <c r="O273" s="49"/>
      <c r="P273" s="49"/>
    </row>
    <row r="275" spans="1:16" x14ac:dyDescent="0.25">
      <c r="B275" s="58" t="s">
        <v>2</v>
      </c>
      <c r="C275" s="280">
        <f>(C271*E271*G271)/E273</f>
        <v>1754.375</v>
      </c>
      <c r="D275" s="280"/>
      <c r="E275" s="58" t="s">
        <v>101</v>
      </c>
      <c r="F275" t="s">
        <v>161</v>
      </c>
      <c r="G275" s="298" t="str">
        <f>IF(C263&lt;=E263,"As dipakai","As Tidak dipakai")</f>
        <v>As dipakai</v>
      </c>
      <c r="H275" s="298"/>
      <c r="K275" s="58" t="s">
        <v>2</v>
      </c>
      <c r="L275" s="58" t="e">
        <f>((L271^0.5)*N271*P271)/(M273*N273)</f>
        <v>#DIV/0!</v>
      </c>
      <c r="M275" s="58" t="s">
        <v>101</v>
      </c>
      <c r="N275" t="s">
        <v>161</v>
      </c>
      <c r="O275" s="298" t="str">
        <f>IF(C263&lt;=E263,"As tidak Dipakai!","Dipakai")</f>
        <v>As tidak Dipakai!</v>
      </c>
      <c r="P275" s="298"/>
    </row>
    <row r="277" spans="1:16" x14ac:dyDescent="0.25">
      <c r="A277" t="s">
        <v>105</v>
      </c>
    </row>
    <row r="279" spans="1:16" x14ac:dyDescent="0.25">
      <c r="A279" t="s">
        <v>103</v>
      </c>
      <c r="B279" s="58" t="s">
        <v>2</v>
      </c>
      <c r="C279" s="280">
        <f>C247</f>
        <v>420.98754904349107</v>
      </c>
      <c r="D279" s="280"/>
      <c r="E279" t="s">
        <v>101</v>
      </c>
    </row>
    <row r="280" spans="1:16" x14ac:dyDescent="0.25">
      <c r="G280" s="58" t="s">
        <v>106</v>
      </c>
      <c r="H280" s="58" t="s">
        <v>2</v>
      </c>
      <c r="I280" s="292">
        <f>MAX(C279:D281)</f>
        <v>1754.375</v>
      </c>
      <c r="J280" s="293"/>
      <c r="K280" t="s">
        <v>101</v>
      </c>
    </row>
    <row r="281" spans="1:16" x14ac:dyDescent="0.25">
      <c r="A281" t="s">
        <v>104</v>
      </c>
      <c r="B281" s="58" t="s">
        <v>2</v>
      </c>
      <c r="C281" s="280">
        <f>IF(C263&lt;=E263,C275,L275)</f>
        <v>1754.375</v>
      </c>
      <c r="D281" s="280"/>
      <c r="E281" t="s">
        <v>101</v>
      </c>
    </row>
    <row r="283" spans="1:16" x14ac:dyDescent="0.25">
      <c r="A283" t="s">
        <v>107</v>
      </c>
    </row>
    <row r="285" spans="1:16" ht="17.25" x14ac:dyDescent="0.25">
      <c r="C285" s="58">
        <v>0.25</v>
      </c>
      <c r="D285" s="58" t="s">
        <v>40</v>
      </c>
      <c r="E285" s="58" t="s">
        <v>109</v>
      </c>
      <c r="F285" s="58" t="s">
        <v>40</v>
      </c>
      <c r="G285" s="58" t="s">
        <v>17</v>
      </c>
      <c r="H285" s="10">
        <v>2</v>
      </c>
      <c r="I285" s="58" t="s">
        <v>40</v>
      </c>
      <c r="J285" s="58" t="s">
        <v>110</v>
      </c>
    </row>
    <row r="286" spans="1:16" x14ac:dyDescent="0.25">
      <c r="A286" s="58" t="s">
        <v>108</v>
      </c>
      <c r="B286" s="58" t="s">
        <v>2</v>
      </c>
    </row>
    <row r="287" spans="1:16" x14ac:dyDescent="0.25">
      <c r="F287" s="279" t="s">
        <v>106</v>
      </c>
      <c r="G287" s="279"/>
    </row>
    <row r="289" spans="1:10" ht="17.25" x14ac:dyDescent="0.25">
      <c r="C289" s="58">
        <v>0.25</v>
      </c>
      <c r="D289" s="58" t="s">
        <v>40</v>
      </c>
      <c r="E289" s="58">
        <v>3.14</v>
      </c>
      <c r="F289" s="58" t="s">
        <v>40</v>
      </c>
      <c r="G289" s="58">
        <f>'Input Data'!G24</f>
        <v>16</v>
      </c>
      <c r="H289" s="10">
        <v>2</v>
      </c>
      <c r="I289" s="58" t="s">
        <v>40</v>
      </c>
      <c r="J289" s="58">
        <v>1000</v>
      </c>
    </row>
    <row r="290" spans="1:10" x14ac:dyDescent="0.25">
      <c r="A290" s="58"/>
      <c r="B290" s="58" t="s">
        <v>2</v>
      </c>
    </row>
    <row r="291" spans="1:10" x14ac:dyDescent="0.25">
      <c r="F291" s="280">
        <f>I280</f>
        <v>1754.375</v>
      </c>
      <c r="G291" s="279"/>
    </row>
    <row r="293" spans="1:10" x14ac:dyDescent="0.25">
      <c r="B293" s="58" t="s">
        <v>2</v>
      </c>
      <c r="C293" s="289">
        <f>(C289*E289*J289*G289^2)/F291</f>
        <v>114.54791592447452</v>
      </c>
      <c r="D293" s="289"/>
      <c r="E293" s="58" t="s">
        <v>28</v>
      </c>
    </row>
    <row r="296" spans="1:10" x14ac:dyDescent="0.25">
      <c r="A296" s="58" t="s">
        <v>108</v>
      </c>
      <c r="B296" s="56" t="s">
        <v>52</v>
      </c>
      <c r="C296" s="58">
        <v>2</v>
      </c>
      <c r="D296" s="58" t="s">
        <v>40</v>
      </c>
      <c r="E296" s="58" t="s">
        <v>12</v>
      </c>
    </row>
    <row r="297" spans="1:10" x14ac:dyDescent="0.25">
      <c r="A297" s="58"/>
      <c r="B297" s="56" t="s">
        <v>52</v>
      </c>
      <c r="C297" s="58">
        <v>2</v>
      </c>
      <c r="D297" s="58" t="s">
        <v>40</v>
      </c>
      <c r="E297" s="63">
        <f>'Input Data'!G21*1000</f>
        <v>500</v>
      </c>
    </row>
    <row r="298" spans="1:10" x14ac:dyDescent="0.25">
      <c r="B298" s="56" t="s">
        <v>52</v>
      </c>
      <c r="C298" s="18">
        <f>C297*E297</f>
        <v>1000</v>
      </c>
    </row>
    <row r="300" spans="1:10" x14ac:dyDescent="0.25">
      <c r="A300" s="58" t="s">
        <v>108</v>
      </c>
      <c r="B300" s="56" t="s">
        <v>52</v>
      </c>
      <c r="C300" s="18">
        <v>450</v>
      </c>
      <c r="D300" t="s">
        <v>28</v>
      </c>
    </row>
    <row r="302" spans="1:10" x14ac:dyDescent="0.25">
      <c r="A302" t="s">
        <v>111</v>
      </c>
      <c r="E302" s="58" t="s">
        <v>2</v>
      </c>
      <c r="F302" s="287">
        <f>MIN(C293,C298,C300)</f>
        <v>114.54791592447452</v>
      </c>
      <c r="G302" s="288"/>
      <c r="H302" s="58" t="s">
        <v>28</v>
      </c>
    </row>
    <row r="303" spans="1:10" x14ac:dyDescent="0.25">
      <c r="E303" s="58"/>
      <c r="F303" s="280"/>
      <c r="G303" s="279"/>
    </row>
    <row r="304" spans="1:10" x14ac:dyDescent="0.25">
      <c r="A304" t="s">
        <v>112</v>
      </c>
      <c r="E304" s="58" t="s">
        <v>2</v>
      </c>
      <c r="F304" s="30" t="s">
        <v>17</v>
      </c>
      <c r="G304" s="30">
        <f>'Input Data'!G24</f>
        <v>16</v>
      </c>
      <c r="H304" s="30" t="s">
        <v>54</v>
      </c>
      <c r="I304" s="31">
        <f>ROUNDDOWN(F302,0)</f>
        <v>114</v>
      </c>
    </row>
  </sheetData>
  <sheetProtection password="C7E9" sheet="1" objects="1" scenarios="1"/>
  <mergeCells count="63">
    <mergeCell ref="Q7:R7"/>
    <mergeCell ref="Q6:R6"/>
    <mergeCell ref="G275:H275"/>
    <mergeCell ref="O275:P275"/>
    <mergeCell ref="N6:O6"/>
    <mergeCell ref="I227:J227"/>
    <mergeCell ref="I280:J280"/>
    <mergeCell ref="D199:E199"/>
    <mergeCell ref="D202:E202"/>
    <mergeCell ref="D206:F206"/>
    <mergeCell ref="D210:F210"/>
    <mergeCell ref="C30:D30"/>
    <mergeCell ref="C42:D42"/>
    <mergeCell ref="F42:G42"/>
    <mergeCell ref="H42:I42"/>
    <mergeCell ref="C24:E24"/>
    <mergeCell ref="C36:E36"/>
    <mergeCell ref="G36:J36"/>
    <mergeCell ref="G24:J24"/>
    <mergeCell ref="F30:G30"/>
    <mergeCell ref="H30:I30"/>
    <mergeCell ref="C32:E32"/>
    <mergeCell ref="G32:J32"/>
    <mergeCell ref="F302:G302"/>
    <mergeCell ref="F303:G303"/>
    <mergeCell ref="C275:D275"/>
    <mergeCell ref="C279:D279"/>
    <mergeCell ref="F291:G291"/>
    <mergeCell ref="F287:G287"/>
    <mergeCell ref="C281:D281"/>
    <mergeCell ref="C293:D293"/>
    <mergeCell ref="C11:E11"/>
    <mergeCell ref="G11:I11"/>
    <mergeCell ref="C14:D14"/>
    <mergeCell ref="C20:E20"/>
    <mergeCell ref="G20:J20"/>
    <mergeCell ref="E166:F166"/>
    <mergeCell ref="J169:K169"/>
    <mergeCell ref="G169:H169"/>
    <mergeCell ref="C146:E146"/>
    <mergeCell ref="G84:H84"/>
    <mergeCell ref="K133:L133"/>
    <mergeCell ref="K134:L134"/>
    <mergeCell ref="D86:E86"/>
    <mergeCell ref="B92:C92"/>
    <mergeCell ref="E92:F92"/>
    <mergeCell ref="G92:H92"/>
    <mergeCell ref="B190:C190"/>
    <mergeCell ref="F190:G190"/>
    <mergeCell ref="D190:E190"/>
    <mergeCell ref="Q87:R87"/>
    <mergeCell ref="B154:C154"/>
    <mergeCell ref="F155:G155"/>
    <mergeCell ref="E177:F177"/>
    <mergeCell ref="E176:F176"/>
    <mergeCell ref="G143:H143"/>
    <mergeCell ref="G145:H145"/>
    <mergeCell ref="A136:B136"/>
    <mergeCell ref="H127:H128"/>
    <mergeCell ref="H129:H130"/>
    <mergeCell ref="H131:H132"/>
    <mergeCell ref="K145:L145"/>
    <mergeCell ref="K146:L146"/>
  </mergeCells>
  <pageMargins left="0.39370078740157483" right="0.19685039370078741" top="0.74803149606299213" bottom="0.74803149606299213" header="0.31496062992125984" footer="0.31496062992125984"/>
  <pageSetup paperSize="9" scale="59" orientation="portrait" r:id="rId1"/>
  <rowBreaks count="4" manualBreakCount="4">
    <brk id="74" max="18" man="1"/>
    <brk id="146" max="18" man="1"/>
    <brk id="214" max="18" man="1"/>
    <brk id="282" max="1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1:Y80"/>
  <sheetViews>
    <sheetView view="pageBreakPreview" topLeftCell="A4" zoomScale="85" zoomScaleSheetLayoutView="85" zoomScalePageLayoutView="74" workbookViewId="0">
      <selection activeCell="G28" sqref="G28:H28"/>
    </sheetView>
  </sheetViews>
  <sheetFormatPr defaultRowHeight="15" x14ac:dyDescent="0.25"/>
  <cols>
    <col min="1" max="1" width="7.7109375" customWidth="1"/>
    <col min="2" max="2" width="3.7109375" customWidth="1"/>
    <col min="3" max="3" width="9.5703125" customWidth="1"/>
    <col min="4" max="4" width="4.5703125" bestFit="1" customWidth="1"/>
    <col min="5" max="5" width="6.7109375" customWidth="1"/>
    <col min="6" max="6" width="6.42578125" customWidth="1"/>
    <col min="7" max="8" width="6.7109375" customWidth="1"/>
    <col min="9" max="9" width="7.5703125" bestFit="1" customWidth="1"/>
    <col min="10" max="10" width="7.5703125" customWidth="1"/>
    <col min="11" max="11" width="6" customWidth="1"/>
    <col min="12" max="14" width="3.7109375" customWidth="1"/>
    <col min="17" max="17" width="10.140625" bestFit="1" customWidth="1"/>
    <col min="19" max="19" width="15.140625" bestFit="1" customWidth="1"/>
    <col min="21" max="21" width="9.140625" customWidth="1"/>
  </cols>
  <sheetData>
    <row r="1" spans="1:25" x14ac:dyDescent="0.25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3" t="s">
        <v>115</v>
      </c>
      <c r="O1" s="212"/>
      <c r="P1" s="212" t="s">
        <v>123</v>
      </c>
      <c r="Q1" s="212"/>
      <c r="R1" s="212"/>
      <c r="S1" s="212"/>
      <c r="T1" s="212"/>
    </row>
    <row r="2" spans="1:25" ht="15.75" x14ac:dyDescent="0.25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3"/>
      <c r="O2" s="212"/>
      <c r="P2" s="212"/>
      <c r="Q2" s="214">
        <v>2</v>
      </c>
      <c r="R2" s="212"/>
      <c r="S2" s="212"/>
      <c r="T2" s="212"/>
    </row>
    <row r="3" spans="1:25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3"/>
      <c r="O3" s="212"/>
      <c r="P3" s="212"/>
      <c r="Q3" s="212"/>
      <c r="R3" s="212"/>
      <c r="S3" s="212"/>
      <c r="T3" s="212"/>
    </row>
    <row r="4" spans="1:25" x14ac:dyDescent="0.25">
      <c r="A4" s="215"/>
      <c r="B4" s="215"/>
      <c r="C4" s="216"/>
      <c r="D4" s="216"/>
      <c r="E4" s="216"/>
      <c r="F4" s="216"/>
      <c r="G4" s="216"/>
      <c r="H4" s="215"/>
      <c r="I4" s="215"/>
      <c r="J4" s="215"/>
      <c r="K4" s="215"/>
      <c r="L4" s="215"/>
      <c r="M4" s="215"/>
      <c r="N4" s="217" t="s">
        <v>116</v>
      </c>
      <c r="O4" s="218"/>
      <c r="P4" s="218"/>
      <c r="Q4" s="218"/>
      <c r="R4" s="218"/>
      <c r="S4" s="218"/>
      <c r="T4" s="218"/>
    </row>
    <row r="5" spans="1:25" x14ac:dyDescent="0.25">
      <c r="A5" s="212" t="s">
        <v>113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7" t="s">
        <v>117</v>
      </c>
      <c r="O5" s="218"/>
      <c r="P5" s="218"/>
      <c r="Q5" s="218"/>
      <c r="R5" s="218"/>
      <c r="S5" s="218"/>
      <c r="T5" s="218"/>
    </row>
    <row r="6" spans="1:25" x14ac:dyDescent="0.25">
      <c r="A6" s="215"/>
      <c r="B6" s="215"/>
      <c r="C6" s="215" t="str">
        <f>'Input Data'!C4:J4</f>
        <v>Ruko Permata Juanda Surabaya</v>
      </c>
      <c r="D6" s="215"/>
      <c r="E6" s="215"/>
      <c r="F6" s="215"/>
      <c r="G6" s="215"/>
      <c r="H6" s="215"/>
      <c r="I6" s="215"/>
      <c r="J6" s="215"/>
      <c r="K6" s="215"/>
      <c r="L6" s="215"/>
      <c r="M6" s="220"/>
      <c r="N6" s="217" t="s">
        <v>120</v>
      </c>
      <c r="O6" s="218"/>
      <c r="P6" s="227"/>
      <c r="Q6" s="218" t="s">
        <v>118</v>
      </c>
      <c r="R6" s="218"/>
      <c r="S6" s="228"/>
      <c r="T6" s="218"/>
    </row>
    <row r="7" spans="1:25" ht="15.75" thickBot="1" x14ac:dyDescent="0.3">
      <c r="A7" s="222" t="s">
        <v>114</v>
      </c>
      <c r="B7" s="222"/>
      <c r="C7" s="222" t="str">
        <f>'Input Data'!C5</f>
        <v>Mr Bunawan</v>
      </c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3" t="s">
        <v>119</v>
      </c>
      <c r="O7" s="222"/>
      <c r="P7" s="222"/>
      <c r="Q7" s="226" t="s">
        <v>121</v>
      </c>
      <c r="R7" s="296">
        <f ca="1">NOW()</f>
        <v>43738.312315972224</v>
      </c>
      <c r="S7" s="301"/>
      <c r="T7" s="222"/>
    </row>
    <row r="8" spans="1:25" ht="15.75" thickTop="1" x14ac:dyDescent="0.25"/>
    <row r="9" spans="1:25" x14ac:dyDescent="0.25">
      <c r="A9" s="32" t="s">
        <v>131</v>
      </c>
      <c r="B9" s="32"/>
      <c r="C9" s="32"/>
      <c r="D9" s="32"/>
      <c r="E9" s="32"/>
      <c r="F9" s="32"/>
      <c r="G9" s="32"/>
    </row>
    <row r="11" spans="1:25" x14ac:dyDescent="0.25">
      <c r="G11" s="26">
        <v>9</v>
      </c>
      <c r="H11" s="26" t="s">
        <v>40</v>
      </c>
      <c r="I11" s="26" t="s">
        <v>98</v>
      </c>
      <c r="J11" s="27" t="s">
        <v>40</v>
      </c>
      <c r="K11" s="27" t="s">
        <v>138</v>
      </c>
      <c r="L11" s="27" t="s">
        <v>133</v>
      </c>
      <c r="M11" s="26" t="s">
        <v>40</v>
      </c>
      <c r="N11" s="27" t="s">
        <v>134</v>
      </c>
      <c r="O11" s="26" t="s">
        <v>40</v>
      </c>
      <c r="P11" s="27" t="s">
        <v>135</v>
      </c>
      <c r="V11" s="302"/>
      <c r="W11" s="302"/>
      <c r="X11" s="302"/>
      <c r="Y11" s="302"/>
    </row>
    <row r="12" spans="1:25" x14ac:dyDescent="0.25">
      <c r="A12" t="s">
        <v>132</v>
      </c>
      <c r="F12" s="26" t="s">
        <v>2</v>
      </c>
      <c r="Q12" s="26" t="s">
        <v>137</v>
      </c>
    </row>
    <row r="13" spans="1:25" x14ac:dyDescent="0.25">
      <c r="K13" s="26" t="s">
        <v>130</v>
      </c>
      <c r="L13" s="26" t="s">
        <v>37</v>
      </c>
      <c r="M13" s="26" t="s">
        <v>136</v>
      </c>
    </row>
    <row r="14" spans="1:25" x14ac:dyDescent="0.25">
      <c r="I14" s="26">
        <v>10</v>
      </c>
      <c r="J14" s="26" t="s">
        <v>9</v>
      </c>
    </row>
    <row r="15" spans="1:25" x14ac:dyDescent="0.25">
      <c r="L15" s="26" t="s">
        <v>137</v>
      </c>
    </row>
    <row r="17" spans="1:17" x14ac:dyDescent="0.25">
      <c r="G17" s="26">
        <v>9</v>
      </c>
      <c r="H17" s="26" t="s">
        <v>40</v>
      </c>
      <c r="I17" s="26">
        <f>'Input Data'!G23</f>
        <v>320</v>
      </c>
      <c r="J17" s="27" t="s">
        <v>40</v>
      </c>
      <c r="K17" s="27">
        <v>1</v>
      </c>
      <c r="L17" s="27">
        <v>1</v>
      </c>
      <c r="M17" s="26" t="s">
        <v>40</v>
      </c>
      <c r="N17" s="27">
        <f>IF('Input Data'!G24&lt;=19,0.8,1)</f>
        <v>0.8</v>
      </c>
      <c r="O17" s="26" t="s">
        <v>40</v>
      </c>
      <c r="P17" s="27">
        <v>1</v>
      </c>
    </row>
    <row r="18" spans="1:17" x14ac:dyDescent="0.25">
      <c r="F18" s="26" t="s">
        <v>2</v>
      </c>
      <c r="Q18" s="26">
        <f>'Input Data'!G24</f>
        <v>16</v>
      </c>
    </row>
    <row r="19" spans="1:17" x14ac:dyDescent="0.25">
      <c r="K19" s="26">
        <f>'hasil perhitungan'!J47</f>
        <v>75</v>
      </c>
      <c r="L19" s="26" t="s">
        <v>37</v>
      </c>
      <c r="M19" s="26">
        <v>0</v>
      </c>
    </row>
    <row r="20" spans="1:17" x14ac:dyDescent="0.25">
      <c r="I20" s="26">
        <v>10</v>
      </c>
      <c r="J20" s="26">
        <f>'Input Data'!G22</f>
        <v>20</v>
      </c>
    </row>
    <row r="21" spans="1:17" x14ac:dyDescent="0.25">
      <c r="L21" s="26">
        <f>'Input Data'!G24</f>
        <v>16</v>
      </c>
    </row>
    <row r="23" spans="1:17" x14ac:dyDescent="0.25">
      <c r="G23" s="26">
        <v>9</v>
      </c>
      <c r="H23" s="26" t="s">
        <v>40</v>
      </c>
      <c r="I23" s="26">
        <f>I17</f>
        <v>320</v>
      </c>
      <c r="J23" s="27" t="s">
        <v>40</v>
      </c>
      <c r="K23" s="27">
        <v>1</v>
      </c>
      <c r="L23" s="27">
        <v>1</v>
      </c>
      <c r="M23" s="26" t="s">
        <v>40</v>
      </c>
      <c r="N23" s="27">
        <f>N17</f>
        <v>0.8</v>
      </c>
      <c r="O23" s="26" t="s">
        <v>40</v>
      </c>
      <c r="P23" s="27">
        <v>1</v>
      </c>
    </row>
    <row r="24" spans="1:17" x14ac:dyDescent="0.25">
      <c r="F24" s="26" t="s">
        <v>2</v>
      </c>
      <c r="Q24" s="26">
        <f>Q18</f>
        <v>16</v>
      </c>
    </row>
    <row r="25" spans="1:17" x14ac:dyDescent="0.25">
      <c r="L25" s="26"/>
      <c r="M25" s="26"/>
    </row>
    <row r="26" spans="1:17" x14ac:dyDescent="0.25">
      <c r="J26" s="26">
        <v>10</v>
      </c>
      <c r="K26" s="26">
        <f>J20</f>
        <v>20</v>
      </c>
      <c r="L26" s="279">
        <f>'kontrol program'!B10</f>
        <v>2.5</v>
      </c>
      <c r="M26" s="279"/>
    </row>
    <row r="27" spans="1:17" x14ac:dyDescent="0.25">
      <c r="M27" s="26"/>
    </row>
    <row r="28" spans="1:17" x14ac:dyDescent="0.25">
      <c r="F28" s="26" t="s">
        <v>2</v>
      </c>
      <c r="G28" s="280">
        <f>(G23*I23*K23*L23*N23*P23*Q24)/(J26*(K26^0.5)*L26)</f>
        <v>329.72163969020897</v>
      </c>
      <c r="H28" s="280"/>
      <c r="I28" s="26" t="s">
        <v>28</v>
      </c>
      <c r="J28" s="26" t="s">
        <v>70</v>
      </c>
      <c r="K28" s="26">
        <v>300</v>
      </c>
      <c r="L28" s="26" t="s">
        <v>28</v>
      </c>
    </row>
    <row r="29" spans="1:17" x14ac:dyDescent="0.25">
      <c r="F29" s="27" t="s">
        <v>92</v>
      </c>
      <c r="G29" s="303">
        <f>ROUNDUP(G28,0)</f>
        <v>330</v>
      </c>
      <c r="H29" s="303"/>
      <c r="I29" t="s">
        <v>28</v>
      </c>
    </row>
    <row r="31" spans="1:17" x14ac:dyDescent="0.25">
      <c r="G31" s="26" t="s">
        <v>4</v>
      </c>
      <c r="H31" s="26"/>
      <c r="I31" s="26" t="s">
        <v>78</v>
      </c>
      <c r="J31" s="26"/>
      <c r="K31" s="26"/>
    </row>
    <row r="32" spans="1:17" x14ac:dyDescent="0.25">
      <c r="A32" t="s">
        <v>139</v>
      </c>
      <c r="F32" s="26" t="s">
        <v>2</v>
      </c>
      <c r="G32" s="26"/>
      <c r="H32" s="26" t="s">
        <v>54</v>
      </c>
      <c r="I32" s="26"/>
      <c r="J32" s="26" t="s">
        <v>54</v>
      </c>
      <c r="K32" s="26">
        <v>75</v>
      </c>
    </row>
    <row r="33" spans="1:15" x14ac:dyDescent="0.25">
      <c r="G33" s="26">
        <v>2</v>
      </c>
      <c r="H33" s="26"/>
      <c r="I33" s="26">
        <v>2</v>
      </c>
      <c r="J33" s="26"/>
      <c r="K33" s="26"/>
    </row>
    <row r="35" spans="1:15" x14ac:dyDescent="0.25">
      <c r="G35" s="26">
        <f>'Input Data'!G19*1000</f>
        <v>1500</v>
      </c>
      <c r="H35" s="26"/>
      <c r="I35" s="26">
        <f>'Input Data'!G16</f>
        <v>500</v>
      </c>
      <c r="J35" s="26"/>
      <c r="K35" s="26"/>
    </row>
    <row r="36" spans="1:15" x14ac:dyDescent="0.25">
      <c r="F36" s="26" t="s">
        <v>2</v>
      </c>
      <c r="G36" s="26"/>
      <c r="H36" s="26" t="s">
        <v>54</v>
      </c>
      <c r="I36" s="26"/>
      <c r="J36" s="26" t="s">
        <v>54</v>
      </c>
      <c r="K36" s="26">
        <f>'hasil perhitungan'!J47</f>
        <v>75</v>
      </c>
    </row>
    <row r="37" spans="1:15" x14ac:dyDescent="0.25">
      <c r="G37" s="26">
        <v>2</v>
      </c>
      <c r="H37" s="26"/>
      <c r="I37" s="26">
        <v>2</v>
      </c>
      <c r="J37" s="26"/>
      <c r="K37" s="26"/>
    </row>
    <row r="39" spans="1:15" x14ac:dyDescent="0.25">
      <c r="F39" s="26" t="s">
        <v>2</v>
      </c>
      <c r="G39">
        <f>(G35/G37)-(I35/I37)-K36</f>
        <v>425</v>
      </c>
    </row>
    <row r="41" spans="1:15" x14ac:dyDescent="0.25">
      <c r="A41" t="s">
        <v>140</v>
      </c>
      <c r="E41" t="s">
        <v>70</v>
      </c>
      <c r="F41" t="s">
        <v>132</v>
      </c>
    </row>
    <row r="42" spans="1:15" x14ac:dyDescent="0.25">
      <c r="C42">
        <f>G39</f>
        <v>425</v>
      </c>
      <c r="E42" t="s">
        <v>70</v>
      </c>
      <c r="F42" s="304">
        <f>G29</f>
        <v>330</v>
      </c>
      <c r="G42" s="276"/>
      <c r="H42" t="s">
        <v>141</v>
      </c>
      <c r="I42" s="305" t="str">
        <f>IF(C42&gt;F42,"OK!","NOK!")</f>
        <v>OK!</v>
      </c>
      <c r="J42" s="305"/>
      <c r="M42" s="1"/>
      <c r="N42" s="1"/>
      <c r="O42" s="1"/>
    </row>
    <row r="45" spans="1:15" x14ac:dyDescent="0.25">
      <c r="A45" s="32" t="s">
        <v>142</v>
      </c>
    </row>
    <row r="47" spans="1:15" x14ac:dyDescent="0.25">
      <c r="E47" s="26" t="s">
        <v>143</v>
      </c>
      <c r="F47" s="26" t="s">
        <v>2</v>
      </c>
      <c r="G47" s="27" t="s">
        <v>69</v>
      </c>
      <c r="H47" s="26" t="s">
        <v>40</v>
      </c>
      <c r="I47" s="26">
        <v>0.85</v>
      </c>
      <c r="J47" s="26" t="s">
        <v>40</v>
      </c>
      <c r="K47" s="26" t="s">
        <v>9</v>
      </c>
      <c r="L47" s="26" t="s">
        <v>40</v>
      </c>
      <c r="M47" s="279" t="s">
        <v>144</v>
      </c>
      <c r="N47" s="279"/>
    </row>
    <row r="49" spans="5:16" x14ac:dyDescent="0.25">
      <c r="F49" s="26" t="s">
        <v>2</v>
      </c>
      <c r="G49" s="27">
        <f>0.7</f>
        <v>0.7</v>
      </c>
      <c r="H49" s="26" t="s">
        <v>40</v>
      </c>
      <c r="I49" s="26">
        <v>0.85</v>
      </c>
      <c r="J49" s="26" t="s">
        <v>40</v>
      </c>
      <c r="K49" s="26">
        <f>'Input Data'!G22</f>
        <v>20</v>
      </c>
      <c r="L49" s="26" t="s">
        <v>40</v>
      </c>
      <c r="M49" s="279">
        <f>'Input Data'!G16*'Input Data'!G17</f>
        <v>250000</v>
      </c>
      <c r="N49" s="279"/>
      <c r="O49" s="279"/>
    </row>
    <row r="51" spans="5:16" x14ac:dyDescent="0.25">
      <c r="F51" s="26" t="s">
        <v>2</v>
      </c>
      <c r="G51" s="279">
        <f>G49*I49*K49*M49</f>
        <v>2974999.9999999995</v>
      </c>
      <c r="H51" s="279"/>
      <c r="I51" t="s">
        <v>83</v>
      </c>
    </row>
    <row r="53" spans="5:16" x14ac:dyDescent="0.25">
      <c r="F53" s="26" t="s">
        <v>2</v>
      </c>
      <c r="G53" s="279">
        <f>G51/1000</f>
        <v>2974.9999999999995</v>
      </c>
      <c r="H53" s="279"/>
      <c r="I53" t="s">
        <v>34</v>
      </c>
    </row>
    <row r="55" spans="5:16" x14ac:dyDescent="0.25">
      <c r="E55" s="26" t="s">
        <v>145</v>
      </c>
      <c r="F55" s="26" t="s">
        <v>2</v>
      </c>
      <c r="G55" s="279">
        <f>'Input Data'!G37</f>
        <v>640</v>
      </c>
      <c r="H55" s="279"/>
      <c r="I55" t="s">
        <v>34</v>
      </c>
    </row>
    <row r="57" spans="5:16" x14ac:dyDescent="0.25">
      <c r="E57" s="26" t="s">
        <v>143</v>
      </c>
      <c r="F57" t="s">
        <v>2</v>
      </c>
      <c r="G57" s="279">
        <f>G53</f>
        <v>2974.9999999999995</v>
      </c>
      <c r="H57" s="279"/>
      <c r="I57" s="26" t="s">
        <v>70</v>
      </c>
      <c r="J57" s="26" t="s">
        <v>145</v>
      </c>
      <c r="K57" s="26" t="s">
        <v>2</v>
      </c>
      <c r="L57" s="279">
        <f>G55</f>
        <v>640</v>
      </c>
      <c r="M57" s="279"/>
      <c r="N57" s="279"/>
      <c r="O57" s="26" t="s">
        <v>141</v>
      </c>
      <c r="P57" s="33" t="str">
        <f>IF(G57&gt;L57,"OK!","NOK!")</f>
        <v>OK!</v>
      </c>
    </row>
    <row r="80" spans="3:3" x14ac:dyDescent="0.25">
      <c r="C80" s="34" t="s">
        <v>146</v>
      </c>
    </row>
  </sheetData>
  <sheetProtection password="C7E9" sheet="1" objects="1" scenarios="1"/>
  <mergeCells count="14">
    <mergeCell ref="R7:S7"/>
    <mergeCell ref="V11:Y11"/>
    <mergeCell ref="G57:H57"/>
    <mergeCell ref="L57:N57"/>
    <mergeCell ref="G28:H28"/>
    <mergeCell ref="G29:H29"/>
    <mergeCell ref="F42:G42"/>
    <mergeCell ref="I42:J42"/>
    <mergeCell ref="M47:N47"/>
    <mergeCell ref="L26:M26"/>
    <mergeCell ref="M49:O49"/>
    <mergeCell ref="G51:H51"/>
    <mergeCell ref="G53:H53"/>
    <mergeCell ref="G55:H55"/>
  </mergeCells>
  <pageMargins left="0.39370078740157483" right="0.19685039370078741" top="0.74803149606299213" bottom="0.74803149606299213" header="0.31496062992125984" footer="0.31496062992125984"/>
  <pageSetup paperSize="9" scale="6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T64"/>
  <sheetViews>
    <sheetView view="pageBreakPreview" topLeftCell="A19" zoomScale="85" zoomScaleSheetLayoutView="85" zoomScalePageLayoutView="55" workbookViewId="0">
      <selection activeCell="X12" sqref="X12"/>
    </sheetView>
  </sheetViews>
  <sheetFormatPr defaultRowHeight="15" x14ac:dyDescent="0.25"/>
  <cols>
    <col min="1" max="1" width="7.7109375" customWidth="1"/>
    <col min="2" max="2" width="3.7109375" customWidth="1"/>
    <col min="3" max="3" width="9.5703125" customWidth="1"/>
    <col min="4" max="4" width="4.5703125" bestFit="1" customWidth="1"/>
    <col min="5" max="5" width="6.7109375" customWidth="1"/>
    <col min="6" max="6" width="6.42578125" customWidth="1"/>
    <col min="7" max="8" width="6.7109375" customWidth="1"/>
    <col min="9" max="9" width="7.5703125" bestFit="1" customWidth="1"/>
    <col min="10" max="10" width="7.5703125" customWidth="1"/>
    <col min="11" max="11" width="6" customWidth="1"/>
    <col min="12" max="14" width="3.7109375" customWidth="1"/>
    <col min="16" max="16" width="9.140625" customWidth="1"/>
    <col min="17" max="17" width="10.140625" bestFit="1" customWidth="1"/>
    <col min="21" max="21" width="9.140625" customWidth="1"/>
  </cols>
  <sheetData>
    <row r="1" spans="1:20" x14ac:dyDescent="0.25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3" t="s">
        <v>115</v>
      </c>
      <c r="O1" s="212"/>
      <c r="P1" s="212" t="s">
        <v>123</v>
      </c>
      <c r="Q1" s="212"/>
      <c r="R1" s="212"/>
      <c r="S1" s="212"/>
      <c r="T1" s="212"/>
    </row>
    <row r="2" spans="1:20" ht="15.75" x14ac:dyDescent="0.25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3"/>
      <c r="O2" s="212"/>
      <c r="P2" s="212"/>
      <c r="Q2" s="214">
        <v>3</v>
      </c>
      <c r="R2" s="212"/>
      <c r="S2" s="212"/>
      <c r="T2" s="212"/>
    </row>
    <row r="3" spans="1:20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3"/>
      <c r="O3" s="212"/>
      <c r="P3" s="212"/>
      <c r="Q3" s="212"/>
      <c r="R3" s="212"/>
      <c r="S3" s="212"/>
      <c r="T3" s="212"/>
    </row>
    <row r="4" spans="1:20" x14ac:dyDescent="0.25">
      <c r="A4" s="215"/>
      <c r="B4" s="215"/>
      <c r="C4" s="216"/>
      <c r="D4" s="216"/>
      <c r="E4" s="216"/>
      <c r="F4" s="216"/>
      <c r="G4" s="216"/>
      <c r="H4" s="215"/>
      <c r="I4" s="215"/>
      <c r="J4" s="215"/>
      <c r="K4" s="215"/>
      <c r="L4" s="215"/>
      <c r="M4" s="215"/>
      <c r="N4" s="217" t="s">
        <v>116</v>
      </c>
      <c r="O4" s="218"/>
      <c r="P4" s="218"/>
      <c r="Q4" s="218"/>
      <c r="R4" s="218"/>
      <c r="S4" s="218"/>
      <c r="T4" s="218"/>
    </row>
    <row r="5" spans="1:20" x14ac:dyDescent="0.25">
      <c r="A5" s="212" t="s">
        <v>113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7" t="s">
        <v>117</v>
      </c>
      <c r="O5" s="218"/>
      <c r="P5" s="218"/>
      <c r="Q5" s="218"/>
      <c r="R5" s="218"/>
      <c r="S5" s="218"/>
      <c r="T5" s="218"/>
    </row>
    <row r="6" spans="1:20" x14ac:dyDescent="0.25">
      <c r="A6" s="215"/>
      <c r="B6" s="215"/>
      <c r="C6" s="215" t="str">
        <f>'Input Data'!C4:J4</f>
        <v>Ruko Permata Juanda Surabaya</v>
      </c>
      <c r="D6" s="215"/>
      <c r="E6" s="215"/>
      <c r="F6" s="215"/>
      <c r="G6" s="215"/>
      <c r="H6" s="215"/>
      <c r="I6" s="215"/>
      <c r="J6" s="215"/>
      <c r="K6" s="215"/>
      <c r="L6" s="215"/>
      <c r="M6" s="220"/>
      <c r="N6" s="217" t="s">
        <v>120</v>
      </c>
      <c r="O6" s="218"/>
      <c r="P6" s="229"/>
      <c r="Q6" s="218" t="s">
        <v>118</v>
      </c>
      <c r="R6" s="218"/>
      <c r="S6" s="218"/>
      <c r="T6" s="218"/>
    </row>
    <row r="7" spans="1:20" ht="15.75" thickBot="1" x14ac:dyDescent="0.3">
      <c r="A7" s="222" t="s">
        <v>114</v>
      </c>
      <c r="B7" s="222"/>
      <c r="C7" s="222" t="str">
        <f>'Input Data'!C5</f>
        <v>Mr Bunawan</v>
      </c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3" t="s">
        <v>119</v>
      </c>
      <c r="O7" s="222"/>
      <c r="P7" s="222"/>
      <c r="Q7" s="226" t="s">
        <v>121</v>
      </c>
      <c r="R7" s="296">
        <f ca="1">NOW()</f>
        <v>43738.312315972224</v>
      </c>
      <c r="S7" s="301"/>
      <c r="T7" s="222"/>
    </row>
    <row r="8" spans="1:20" ht="15.75" thickTop="1" x14ac:dyDescent="0.25"/>
    <row r="9" spans="1:20" x14ac:dyDescent="0.25">
      <c r="G9" s="2">
        <f>'Input Data'!G19</f>
        <v>1.5</v>
      </c>
    </row>
    <row r="19" spans="3:9" x14ac:dyDescent="0.25">
      <c r="C19" s="21">
        <f>G9</f>
        <v>1.5</v>
      </c>
    </row>
    <row r="29" spans="3:9" ht="15.75" x14ac:dyDescent="0.25">
      <c r="F29" s="22" t="s">
        <v>17</v>
      </c>
      <c r="G29" s="18">
        <f>J40</f>
        <v>16</v>
      </c>
      <c r="H29" s="23" t="s">
        <v>54</v>
      </c>
      <c r="I29" s="24">
        <f>L40</f>
        <v>114</v>
      </c>
    </row>
    <row r="31" spans="3:9" ht="18.75" x14ac:dyDescent="0.3">
      <c r="F31" s="306" t="s">
        <v>126</v>
      </c>
      <c r="G31" s="306"/>
      <c r="H31" s="306"/>
    </row>
    <row r="32" spans="3:9" x14ac:dyDescent="0.25">
      <c r="F32" s="279" t="s">
        <v>125</v>
      </c>
      <c r="G32" s="279"/>
      <c r="H32" s="279"/>
    </row>
    <row r="33" spans="2:14" ht="15.75" x14ac:dyDescent="0.25">
      <c r="F33" s="22"/>
      <c r="G33" s="18"/>
      <c r="H33" s="23"/>
      <c r="I33" s="24"/>
    </row>
    <row r="34" spans="2:14" x14ac:dyDescent="0.25">
      <c r="G34" s="19">
        <f>'Input Data'!G17</f>
        <v>500</v>
      </c>
    </row>
    <row r="40" spans="2:14" x14ac:dyDescent="0.25">
      <c r="I40" s="18" t="s">
        <v>17</v>
      </c>
      <c r="J40" s="18">
        <f>'Input Data'!G24</f>
        <v>16</v>
      </c>
      <c r="K40" s="18" t="s">
        <v>54</v>
      </c>
      <c r="L40" s="307">
        <f>'hasil perhitungan'!I304</f>
        <v>114</v>
      </c>
      <c r="M40" s="307"/>
      <c r="N40" s="307"/>
    </row>
    <row r="43" spans="2:14" x14ac:dyDescent="0.25">
      <c r="B43" s="276">
        <f>'Input Data'!G21*1000</f>
        <v>500</v>
      </c>
      <c r="C43" s="276"/>
      <c r="L43" s="304">
        <f>B43-L45</f>
        <v>401</v>
      </c>
      <c r="M43" s="276"/>
    </row>
    <row r="45" spans="2:14" x14ac:dyDescent="0.25">
      <c r="L45" s="304">
        <f>'hasil perhitungan'!G181*1000</f>
        <v>99</v>
      </c>
      <c r="M45" s="304"/>
    </row>
    <row r="46" spans="2:14" x14ac:dyDescent="0.25">
      <c r="F46" s="279">
        <f>G9*1000</f>
        <v>1500</v>
      </c>
      <c r="G46" s="279"/>
      <c r="H46" s="279"/>
    </row>
    <row r="47" spans="2:14" ht="15" customHeight="1" x14ac:dyDescent="0.3">
      <c r="I47" s="25"/>
    </row>
    <row r="48" spans="2:14" ht="18.75" x14ac:dyDescent="0.3">
      <c r="F48" s="306" t="s">
        <v>124</v>
      </c>
      <c r="G48" s="306"/>
      <c r="H48" s="306"/>
    </row>
    <row r="49" spans="2:8" x14ac:dyDescent="0.25">
      <c r="F49" s="279" t="s">
        <v>125</v>
      </c>
      <c r="G49" s="279"/>
      <c r="H49" s="279"/>
    </row>
    <row r="50" spans="2:8" x14ac:dyDescent="0.25">
      <c r="F50" s="20"/>
      <c r="G50" s="20"/>
      <c r="H50" s="20"/>
    </row>
    <row r="51" spans="2:8" x14ac:dyDescent="0.25">
      <c r="B51" t="s">
        <v>127</v>
      </c>
      <c r="F51" s="22"/>
    </row>
    <row r="56" spans="2:8" x14ac:dyDescent="0.25">
      <c r="B56" t="s">
        <v>128</v>
      </c>
    </row>
    <row r="64" spans="2:8" x14ac:dyDescent="0.25">
      <c r="B64" t="s">
        <v>129</v>
      </c>
    </row>
  </sheetData>
  <sheetProtection password="C7E9" sheet="1" objects="1" scenarios="1"/>
  <mergeCells count="10">
    <mergeCell ref="R7:S7"/>
    <mergeCell ref="F31:H31"/>
    <mergeCell ref="F32:H32"/>
    <mergeCell ref="L40:N40"/>
    <mergeCell ref="F48:H48"/>
    <mergeCell ref="B43:C43"/>
    <mergeCell ref="L45:M45"/>
    <mergeCell ref="L43:M43"/>
    <mergeCell ref="F49:H49"/>
    <mergeCell ref="F46:H46"/>
  </mergeCells>
  <pageMargins left="0.39370078740157483" right="0.1968503937007874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4:S35"/>
  <sheetViews>
    <sheetView topLeftCell="A10" workbookViewId="0">
      <selection activeCell="K32" sqref="K32"/>
    </sheetView>
  </sheetViews>
  <sheetFormatPr defaultRowHeight="15" x14ac:dyDescent="0.25"/>
  <cols>
    <col min="2" max="2" width="9.5703125" bestFit="1" customWidth="1"/>
  </cols>
  <sheetData>
    <row r="4" spans="1:19" x14ac:dyDescent="0.25">
      <c r="B4" s="37">
        <f>Kontrol!K19</f>
        <v>75</v>
      </c>
      <c r="C4" s="37" t="s">
        <v>37</v>
      </c>
      <c r="D4" s="37">
        <f>Kontrol!M19</f>
        <v>0</v>
      </c>
    </row>
    <row r="5" spans="1:19" x14ac:dyDescent="0.25">
      <c r="A5" s="37"/>
    </row>
    <row r="6" spans="1:19" x14ac:dyDescent="0.25">
      <c r="C6" s="37">
        <f>Kontrol!L21</f>
        <v>16</v>
      </c>
    </row>
    <row r="8" spans="1:19" x14ac:dyDescent="0.25">
      <c r="B8" s="40">
        <f>(B4+D4)/C6</f>
        <v>4.6875</v>
      </c>
    </row>
    <row r="9" spans="1:19" x14ac:dyDescent="0.25">
      <c r="B9" s="41">
        <v>2.5</v>
      </c>
    </row>
    <row r="10" spans="1:19" x14ac:dyDescent="0.25">
      <c r="B10" s="37">
        <f>IF(B8&gt;=2.5,B9,B8)</f>
        <v>2.5</v>
      </c>
    </row>
    <row r="12" spans="1:19" x14ac:dyDescent="0.25">
      <c r="D12" s="39">
        <v>1.4</v>
      </c>
      <c r="E12" s="39" t="s">
        <v>102</v>
      </c>
      <c r="F12" s="39" t="s">
        <v>3</v>
      </c>
      <c r="G12" s="39" t="s">
        <v>40</v>
      </c>
      <c r="H12" s="39" t="s">
        <v>61</v>
      </c>
      <c r="K12" s="49"/>
      <c r="L12" s="49"/>
      <c r="M12" s="48" t="s">
        <v>9</v>
      </c>
      <c r="N12" s="48" t="s">
        <v>102</v>
      </c>
      <c r="O12" s="48" t="s">
        <v>3</v>
      </c>
      <c r="P12" s="48" t="s">
        <v>40</v>
      </c>
      <c r="Q12" s="48" t="s">
        <v>61</v>
      </c>
    </row>
    <row r="13" spans="1:19" x14ac:dyDescent="0.25">
      <c r="B13" s="39" t="s">
        <v>104</v>
      </c>
      <c r="C13" s="39" t="s">
        <v>2</v>
      </c>
      <c r="I13" s="39" t="s">
        <v>141</v>
      </c>
      <c r="J13" s="49" t="s">
        <v>162</v>
      </c>
      <c r="K13" s="48" t="s">
        <v>165</v>
      </c>
      <c r="L13" s="48" t="s">
        <v>2</v>
      </c>
      <c r="M13" s="49"/>
      <c r="N13" s="49"/>
      <c r="O13" s="49"/>
      <c r="P13" s="49"/>
      <c r="Q13" s="49"/>
      <c r="R13" s="39" t="s">
        <v>141</v>
      </c>
      <c r="S13" s="49" t="s">
        <v>163</v>
      </c>
    </row>
    <row r="14" spans="1:19" x14ac:dyDescent="0.25">
      <c r="F14" s="39" t="s">
        <v>98</v>
      </c>
      <c r="K14" s="49"/>
      <c r="L14" s="49"/>
      <c r="M14" s="49"/>
      <c r="N14" s="49">
        <v>4</v>
      </c>
      <c r="O14" s="48" t="s">
        <v>98</v>
      </c>
      <c r="P14" s="49"/>
      <c r="Q14" s="49"/>
    </row>
    <row r="16" spans="1:19" x14ac:dyDescent="0.25">
      <c r="D16" s="39">
        <f>IF('hasil perhitungan'!C263&lt;='hasil perhitungan'!E263,D12*1,0)</f>
        <v>1.4</v>
      </c>
      <c r="E16" s="39" t="s">
        <v>102</v>
      </c>
      <c r="F16" s="39">
        <f>IF('hasil perhitungan'!C263&lt;='hasil perhitungan'!E263,1000,0)</f>
        <v>1000</v>
      </c>
      <c r="G16" s="39" t="s">
        <v>40</v>
      </c>
      <c r="H16" s="39">
        <f>IF('hasil perhitungan'!C263&lt;='hasil perhitungan'!E263,'hasil perhitungan'!J180,0)</f>
        <v>401</v>
      </c>
      <c r="L16" s="53"/>
      <c r="M16" s="48">
        <f>IF('hasil perhitungan'!C263&lt;='hasil perhitungan'!E263,0,'Input Data'!G22)</f>
        <v>0</v>
      </c>
      <c r="N16" s="48" t="s">
        <v>102</v>
      </c>
      <c r="O16" s="48">
        <f>IF('hasil perhitungan'!C263&lt;='hasil perhitungan'!E263,0,1000)</f>
        <v>0</v>
      </c>
      <c r="P16" s="48" t="s">
        <v>40</v>
      </c>
      <c r="Q16" s="48">
        <f>IF('hasil perhitungan'!C263&lt;='hasil perhitungan'!E263,0,'hasil perhitungan'!J180)</f>
        <v>0</v>
      </c>
    </row>
    <row r="17" spans="2:17" x14ac:dyDescent="0.25">
      <c r="C17" s="39" t="s">
        <v>2</v>
      </c>
      <c r="L17" s="39" t="s">
        <v>2</v>
      </c>
      <c r="M17" s="49"/>
      <c r="N17" s="49"/>
      <c r="O17" s="49"/>
      <c r="P17" s="49"/>
      <c r="Q17" s="49"/>
    </row>
    <row r="18" spans="2:17" x14ac:dyDescent="0.25">
      <c r="F18" s="39">
        <f>IF('hasil perhitungan'!C263&lt;='hasil perhitungan'!E263,'Input Data'!G23,0)</f>
        <v>320</v>
      </c>
      <c r="M18" s="49"/>
      <c r="N18" s="49">
        <v>4</v>
      </c>
      <c r="O18" s="48">
        <f>IF('hasil perhitungan'!C263&lt;='hasil perhitungan'!E263,0,'Input Data'!G23)</f>
        <v>0</v>
      </c>
      <c r="P18" s="49"/>
      <c r="Q18" s="49"/>
    </row>
    <row r="20" spans="2:17" x14ac:dyDescent="0.25">
      <c r="C20" s="39" t="s">
        <v>2</v>
      </c>
      <c r="D20" s="280">
        <f>(D16*F16*H16)/F18</f>
        <v>1754.375</v>
      </c>
      <c r="E20" s="280"/>
      <c r="F20" s="39" t="s">
        <v>101</v>
      </c>
      <c r="G20" s="39"/>
      <c r="H20" s="39"/>
      <c r="L20" s="39" t="s">
        <v>2</v>
      </c>
      <c r="M20" s="39" t="e">
        <f>((20^0.5)*O16*Q16)/(N18*O18)</f>
        <v>#DIV/0!</v>
      </c>
      <c r="N20" s="39" t="s">
        <v>101</v>
      </c>
    </row>
    <row r="25" spans="2:17" x14ac:dyDescent="0.25">
      <c r="B25" t="s">
        <v>166</v>
      </c>
    </row>
    <row r="27" spans="2:17" x14ac:dyDescent="0.25">
      <c r="B27" t="s">
        <v>48</v>
      </c>
      <c r="F27" s="8" t="s">
        <v>49</v>
      </c>
      <c r="G27" t="s">
        <v>2</v>
      </c>
      <c r="H27">
        <f>SUM('hasil perhitungan'!C28,'hasil perhitungan'!E28,'hasil perhitungan'!G28)</f>
        <v>349.5288888888889</v>
      </c>
    </row>
    <row r="28" spans="2:17" x14ac:dyDescent="0.25">
      <c r="F28" s="8" t="s">
        <v>49</v>
      </c>
      <c r="G28" t="s">
        <v>2</v>
      </c>
      <c r="H28">
        <f>'hasil perhitungan'!C40-'hasil perhitungan'!E40+'hasil perhitungan'!G40</f>
        <v>284.64</v>
      </c>
    </row>
    <row r="29" spans="2:17" x14ac:dyDescent="0.25">
      <c r="F29" s="8" t="s">
        <v>167</v>
      </c>
      <c r="G29" t="s">
        <v>2</v>
      </c>
      <c r="H29">
        <f>'Input Data'!G30</f>
        <v>105</v>
      </c>
    </row>
    <row r="31" spans="2:17" x14ac:dyDescent="0.25">
      <c r="B31" t="s">
        <v>168</v>
      </c>
      <c r="F31" s="8" t="s">
        <v>75</v>
      </c>
      <c r="G31" t="s">
        <v>2</v>
      </c>
      <c r="H31">
        <f>'hasil perhitungan'!J73</f>
        <v>43.292836888888885</v>
      </c>
    </row>
    <row r="32" spans="2:17" x14ac:dyDescent="0.25">
      <c r="F32" s="38" t="s">
        <v>68</v>
      </c>
      <c r="G32" t="s">
        <v>2</v>
      </c>
      <c r="H32">
        <f>'hasil perhitungan'!K85</f>
        <v>349.66512998152962</v>
      </c>
    </row>
    <row r="34" spans="2:8" x14ac:dyDescent="0.25">
      <c r="B34" t="s">
        <v>168</v>
      </c>
      <c r="F34" t="s">
        <v>75</v>
      </c>
      <c r="G34" t="s">
        <v>2</v>
      </c>
      <c r="H34">
        <f>'hasil perhitungan'!C111</f>
        <v>446.80717859555551</v>
      </c>
    </row>
    <row r="35" spans="2:8" x14ac:dyDescent="0.25">
      <c r="F35" s="38" t="s">
        <v>68</v>
      </c>
      <c r="G35" t="s">
        <v>2</v>
      </c>
      <c r="H35">
        <f>'hasil perhitungan'!C169</f>
        <v>1710.0955956963342</v>
      </c>
    </row>
  </sheetData>
  <mergeCells count="1">
    <mergeCell ref="D20:E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Input Data</vt:lpstr>
      <vt:lpstr>Urutan Desain Pondasi</vt:lpstr>
      <vt:lpstr>hasil perhitungan</vt:lpstr>
      <vt:lpstr>Kontrol</vt:lpstr>
      <vt:lpstr>Desain Penulangan Pondasi</vt:lpstr>
      <vt:lpstr>kontrol program</vt:lpstr>
      <vt:lpstr>'Desain Penulangan Pondasi'!Print_Area</vt:lpstr>
      <vt:lpstr>'hasil perhitungan'!Print_Area</vt:lpstr>
      <vt:lpstr>'Input Data'!Print_Area</vt:lpstr>
      <vt:lpstr>Kontrol!Print_Area</vt:lpstr>
      <vt:lpstr>'Desain Penulangan Pondasi'!Print_Titles</vt:lpstr>
      <vt:lpstr>'hasil perhitungan'!Print_Titles</vt:lpstr>
      <vt:lpstr>Kontrol!Print_Titles</vt:lpstr>
    </vt:vector>
  </TitlesOfParts>
  <Company>Islam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</dc:creator>
  <cp:lastModifiedBy>Arga</cp:lastModifiedBy>
  <cp:lastPrinted>2011-03-07T12:48:17Z</cp:lastPrinted>
  <dcterms:created xsi:type="dcterms:W3CDTF">2011-02-19T12:37:59Z</dcterms:created>
  <dcterms:modified xsi:type="dcterms:W3CDTF">2019-09-30T02:49:50Z</dcterms:modified>
</cp:coreProperties>
</file>